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31" windowWidth="20730" windowHeight="11760" activeTab="0"/>
  </bookViews>
  <sheets>
    <sheet name="Data from Concern Universal" sheetId="1" r:id="rId1"/>
    <sheet name="Rec" sheetId="2" state="hidden" r:id="rId2"/>
    <sheet name="GiveWell calculations" sheetId="3" r:id="rId3"/>
    <sheet name="What has changed since Nov 2011" sheetId="4" r:id="rId4"/>
    <sheet name="FX rates" sheetId="5" r:id="rId5"/>
  </sheets>
  <definedNames/>
  <calcPr fullCalcOnLoad="1"/>
</workbook>
</file>

<file path=xl/comments2.xml><?xml version="1.0" encoding="utf-8"?>
<comments xmlns="http://schemas.openxmlformats.org/spreadsheetml/2006/main">
  <authors>
    <author> user</author>
  </authors>
  <commentList>
    <comment ref="A15" authorId="0">
      <text>
        <r>
          <rPr>
            <b/>
            <sz val="8"/>
            <rFont val="Tahoma"/>
            <family val="2"/>
          </rPr>
          <t xml:space="preserve"> user:</t>
        </r>
        <r>
          <rPr>
            <sz val="8"/>
            <rFont val="Tahoma"/>
            <family val="2"/>
          </rPr>
          <t xml:space="preserve">
</t>
        </r>
      </text>
    </comment>
  </commentList>
</comments>
</file>

<file path=xl/sharedStrings.xml><?xml version="1.0" encoding="utf-8"?>
<sst xmlns="http://schemas.openxmlformats.org/spreadsheetml/2006/main" count="186" uniqueCount="132">
  <si>
    <t>Without extra costs for 16,574 nets distributed at the end of March/beginning of April</t>
  </si>
  <si>
    <t>-</t>
  </si>
  <si>
    <t>-</t>
  </si>
  <si>
    <t>admin salaries (10% of Finance and Admin Manager and Country Director's time for 4 months)</t>
  </si>
  <si>
    <t>TOTAL CU COSTS</t>
  </si>
  <si>
    <t>Costs incurred by government and not charged to the net distribution</t>
  </si>
  <si>
    <t>TOTAL GOVERNMENT COSTS</t>
  </si>
  <si>
    <t>Senior HSA and District staff salaries (those 10 staff engaged in ongoing work throughout distribution- total 40 days FT)</t>
  </si>
  <si>
    <t>Training HSAs on PD monitoring and data collection</t>
  </si>
  <si>
    <t>Reports writing -for all clusters</t>
  </si>
  <si>
    <t xml:space="preserve">CU staff costs   </t>
  </si>
  <si>
    <t>Post distribution follow-up (30 &amp; 42 months)</t>
  </si>
  <si>
    <t>Transport support costs</t>
  </si>
  <si>
    <t>Data collection for PD monitoring (30 and 42 months only)</t>
  </si>
  <si>
    <t>Post distribution follow-up (6 months)</t>
  </si>
  <si>
    <t>Post distribution follow-up (18 months)</t>
  </si>
  <si>
    <t xml:space="preserve">Data collection for PD monitoring </t>
  </si>
  <si>
    <t>40% of all hospital admissions in Ntcheu District.</t>
  </si>
  <si>
    <t>Budget</t>
  </si>
  <si>
    <t>Exchange Rates:</t>
  </si>
  <si>
    <t>(MK)</t>
  </si>
  <si>
    <t>Rate</t>
  </si>
  <si>
    <t>(€)</t>
  </si>
  <si>
    <t>Total/Average</t>
  </si>
  <si>
    <t xml:space="preserve">Funds received from the Irish Aid (Oct 11) </t>
  </si>
  <si>
    <t>Less: Expenditure (Qtr 1) Jan 2012</t>
  </si>
  <si>
    <t>NET DISTRIBUTION FOR NTCHEU DISTRICT</t>
  </si>
  <si>
    <t>Bal. of Budget</t>
  </si>
  <si>
    <t>Main Budget Heading</t>
  </si>
  <si>
    <t>In-country</t>
  </si>
  <si>
    <t>Total</t>
  </si>
  <si>
    <t>(€@230.23)</t>
  </si>
  <si>
    <t>Bal of Budget</t>
  </si>
  <si>
    <t/>
  </si>
  <si>
    <t>With extra costs for 16,574 nets distributed at the end of March/beginning of April</t>
  </si>
  <si>
    <t>Grand total (including follow-ups at 6, 18, 30 &amp; 42 months)</t>
  </si>
  <si>
    <t>Grand total (Year 1) without fixed costs</t>
  </si>
  <si>
    <t>took longer than anticipated, involved more meetings and also required use of more data entry clerks than had been anticipated to re-enter verified data</t>
  </si>
  <si>
    <t>done using existing paper and resources so no additional costs incurred</t>
  </si>
  <si>
    <t>as above</t>
  </si>
  <si>
    <t>cost of fuel and maintenance- this line had been overbudgeted</t>
  </si>
  <si>
    <t>cost savings through increased use of three tonne truck rather than landcruisers which meant fewer trips were made</t>
  </si>
  <si>
    <t>significant savings against this line as not seen as an essential cost</t>
  </si>
  <si>
    <t>distribution took longer than anticipated so allowances higher- also this line was underbudgeted</t>
  </si>
  <si>
    <t>work took longer than anticipated- higher staff costs</t>
  </si>
  <si>
    <t>Ntcheu office overheads (25% of total overheads for 4 months)</t>
  </si>
  <si>
    <t>salaries of borehole drilling crew (4 staff x 1 month)</t>
  </si>
  <si>
    <t>Actual costs incurred by CU but not charged to the net distribution (for Givewell use)</t>
  </si>
  <si>
    <t>"The fixed costs should be the same as I worked them out for a length of time which included distribution of the extra nets. Actual amount spent should be the same as I have estimated because there has been no difference in salaries or rent/utilities since I made these original calculations." Robin Todd, email to GiveWell, April 3, 2012.</t>
  </si>
  <si>
    <t>"The shipping costs for the additional nets was US$4,483." Robin Todd, email to GiveWell, April 3, 2012.</t>
  </si>
  <si>
    <t>Shipping costs</t>
  </si>
  <si>
    <t>"Shipping costs are not included in the budget as we didn’t charge these to Irish Aid but instead covered them from our own resources. Total shipping costs for the 250,000 nets came to US$71,039" Email to GiveWell from Robin Todd, March 30, 2012</t>
  </si>
  <si>
    <t>Period Average</t>
  </si>
  <si>
    <t>Period High</t>
  </si>
  <si>
    <t>Period Low</t>
  </si>
  <si>
    <t>HSA salaries (431 HSAs + 8 HSA supervisors (there were a total of 14 HSA supervisors byt 6 played a more active role in the project and their costs are captured in the next budget line) each spending an average of 10 FT working days during registration, verification and distribution- average HSA salary per working day is estimated at €3.91- actual amount varies dependent on qualifications and length of tenure- figure is basic salary only and doesn't include allowances)</t>
  </si>
  <si>
    <t>Numbers of nets:</t>
  </si>
  <si>
    <t>ADC briefing meetings</t>
  </si>
  <si>
    <t>HSA and VHC briefing meetings</t>
  </si>
  <si>
    <t>Briefing meeting with District Executive Committee members</t>
  </si>
  <si>
    <t>Household registration</t>
  </si>
  <si>
    <t xml:space="preserve">Data entry </t>
  </si>
  <si>
    <t>Printing registers</t>
  </si>
  <si>
    <t>Other stationery</t>
  </si>
  <si>
    <t>Transport for net distribution</t>
  </si>
  <si>
    <t>Total nets</t>
  </si>
  <si>
    <t>Total costs</t>
  </si>
  <si>
    <t>Refreshments for VHC and village leaders during distribution</t>
  </si>
  <si>
    <t>Allowances for HSA during distribution</t>
  </si>
  <si>
    <t>Fuel for SHSA for distribution</t>
  </si>
  <si>
    <t xml:space="preserve">Data verification </t>
  </si>
  <si>
    <t>CU staff costs (4 teams- 5 CU staff x 40 days)</t>
  </si>
  <si>
    <t>CU vehicle cost- wear &amp; tear</t>
  </si>
  <si>
    <t>Binding registers</t>
  </si>
  <si>
    <t>Warehouse hire- Ntcheu</t>
  </si>
  <si>
    <t>Sub total</t>
  </si>
  <si>
    <t>Distribution phase</t>
  </si>
  <si>
    <t>Stationery</t>
  </si>
  <si>
    <t>"Additional costs of the 16,574 distribution are MK 350,000 fuel, running costs and allowances and MK 80,000 salary costs." Robin Todd, email to GiveWell, April 3, 2012.</t>
  </si>
  <si>
    <t>Concern Universal organizational costs</t>
  </si>
  <si>
    <t>Net shipping costs</t>
  </si>
  <si>
    <t>Organizational costs</t>
  </si>
  <si>
    <t>Distribution costs</t>
  </si>
  <si>
    <t>Organizational costs covered by Concern Universal</t>
  </si>
  <si>
    <t>Costs paid by the government (health surveillance assistant salaries)</t>
  </si>
  <si>
    <t>Nets distributed at end of March/beginning of April 2012</t>
  </si>
  <si>
    <t>"The total number of LLINs required to cover Ntcheu Town is 25,549, making the total required for Ntcheu District 268,294. As we have already received  251,720 nets from AMF this means that we will require an additional 16,574 LLINs to complete universal distribution in Ntcheu District." Email from Rob Mather to GiveWell, March 8, 2012.</t>
  </si>
  <si>
    <t>Concern Universal distribution and pre/post-distribution costs</t>
  </si>
  <si>
    <t xml:space="preserve">Concern Universal distribution and pre/post-distribution </t>
  </si>
  <si>
    <t>These were costs that GiveWell did not originally include because we did not know about them.</t>
  </si>
  <si>
    <t>Actual Rate (Year 1)</t>
  </si>
  <si>
    <t>Subtotal</t>
  </si>
  <si>
    <t>Exchange Rate Gain / (Loss) - Year 1</t>
  </si>
  <si>
    <t>Actual Rate versus Budget Rate:</t>
  </si>
  <si>
    <t>Oct to Jan 12</t>
  </si>
  <si>
    <t>Budgeted Rate (Year 1)</t>
  </si>
  <si>
    <t>as at Feb 2012</t>
  </si>
  <si>
    <t>Actual Expenditure</t>
  </si>
  <si>
    <t>combined with HSA and VHC meetings so cost saving incurred</t>
  </si>
  <si>
    <t>Budget notes for Givewell</t>
  </si>
  <si>
    <t>meetings cheaper than anticipated- fewer allowances required</t>
  </si>
  <si>
    <t>combined with another scheduled DEC meeting to save costs</t>
  </si>
  <si>
    <t>additional cost incurred due to hiring of 8 temporary data entry clerks rather than 4</t>
  </si>
  <si>
    <t>Category</t>
  </si>
  <si>
    <t>Total</t>
  </si>
  <si>
    <t>work took longer than anticipated so more staff costs incurred</t>
  </si>
  <si>
    <t>Comment</t>
  </si>
  <si>
    <t>Shipping</t>
  </si>
  <si>
    <t>Total that will be distributed at the end of the Malawi campaign</t>
  </si>
  <si>
    <t>Source</t>
  </si>
  <si>
    <t>Notes</t>
  </si>
  <si>
    <t>Total Concern Universal/government cost per net</t>
  </si>
  <si>
    <t>Total Concern Universal &amp; government costs</t>
  </si>
  <si>
    <t>Cost per net</t>
  </si>
  <si>
    <t>Difference in cost per net</t>
  </si>
  <si>
    <t>Difference in total costs</t>
  </si>
  <si>
    <t>Note that the original number of nets was 250K because this was the planned number as reported to GiveWell by AMF.</t>
  </si>
  <si>
    <t>USD / EUR</t>
  </si>
  <si>
    <t>USD / MWK</t>
  </si>
  <si>
    <t>Additional costs for 16,574 nets distributed at end of March/beginning of April</t>
  </si>
  <si>
    <t>Costs incurred by the government</t>
  </si>
  <si>
    <t>Estimated vs actual</t>
  </si>
  <si>
    <t>April 2012 update (actual costs)</t>
  </si>
  <si>
    <t>November 2011 estimates (estimated costs)</t>
  </si>
  <si>
    <t>Change between estimated and actual costs</t>
  </si>
  <si>
    <t>Estimated vs actual (includes higher than estimated shipping for the original set of nets, plus extra shipping for ~16k extra nets)</t>
  </si>
  <si>
    <t>November 2011 estimate was reported to us by Rob Mather in "Net Cost for GiveWell" where the total cost for Concern Universal in Malawi was quoted at $170K, including shipping costs of $45K. For the source of the April 2012 estimate, see "GiveWell Calculations," this spreadsheet.</t>
  </si>
  <si>
    <t>"GiveWell calculations" tab</t>
  </si>
  <si>
    <t>"GiveWell Calculations" tab</t>
  </si>
  <si>
    <t>Financial Report as at February 2012, provided by Concern Universal to GiveWell</t>
  </si>
  <si>
    <t>As noted below (cell E85), we have used the Euro costs to calculate costs in USD. Because we received these additional distribution costs in Malawi kwatcha, we converted to Euro using the conversion rate given by Concern Universal in cell E7 of the "Data from Concern Universal" tab and then converted to USD.</t>
  </si>
  <si>
    <t>Exchange rates from http://www.oanda.com/currency/historical-rates/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</si>
</sst>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_);[Red]\(#,##0.0000\)"/>
    <numFmt numFmtId="166" formatCode="&quot;Yes&quot;;&quot;Yes&quot;;&quot;No&quot;"/>
    <numFmt numFmtId="167" formatCode="&quot;True&quot;;&quot;True&quot;;&quot;False&quot;"/>
    <numFmt numFmtId="168" formatCode="&quot;On&quot;;&quot;On&quot;;&quot;Off&quot;"/>
    <numFmt numFmtId="169" formatCode="[$€-2]\ #,##0.00_);[Red]\([$€-2]\ #,##0.00\)"/>
    <numFmt numFmtId="170" formatCode="_(&quot;$&quot;* #,##0.0_);_(&quot;$&quot;* \(#,##0.0\);_(&quot;$&quot;* &quot;-&quot;??_);_(@_)"/>
    <numFmt numFmtId="171" formatCode="0.0000"/>
    <numFmt numFmtId="172" formatCode="0.000"/>
    <numFmt numFmtId="173" formatCode="0.00000000"/>
    <numFmt numFmtId="174" formatCode="0.0000000"/>
    <numFmt numFmtId="175" formatCode="0.000000"/>
    <numFmt numFmtId="176" formatCode="0.00000"/>
    <numFmt numFmtId="177" formatCode="0.0%"/>
    <numFmt numFmtId="178" formatCode="_([$$-409]* #,##0_);_([$$-409]* \(#,##0\);_([$$-409]* &quot;-&quot;_);_(@_)"/>
    <numFmt numFmtId="179" formatCode="_([$$-409]* #,##0.00_);_([$$-409]* \(#,##0.00\);_([$$-409]* &quot;-&quot;??_);_(@_)"/>
    <numFmt numFmtId="180" formatCode="#,##0\ [$€-1];[Red]\-#,##0\ [$€-1]"/>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809]#,##0.00"/>
    <numFmt numFmtId="186" formatCode="&quot;$&quot;#,##0.00"/>
    <numFmt numFmtId="187" formatCode="#,##0.00000"/>
    <numFmt numFmtId="188" formatCode="_(&quot;$&quot;* #,##0.0_);_(&quot;$&quot;* \(#,##0.0\);_(&quot;$&quot;* &quot;-&quot;_);_(@_)"/>
    <numFmt numFmtId="189" formatCode="_(&quot;$&quot;* #,##0.00_);_(&quot;$&quot;* \(#,##0.00\);_(&quot;$&quot;* &quot;-&quot;_);_(@_)"/>
  </numFmts>
  <fonts count="51">
    <font>
      <sz val="11"/>
      <color theme="1"/>
      <name val="Calibri"/>
      <family val="2"/>
    </font>
    <font>
      <sz val="11"/>
      <color indexed="8"/>
      <name val="Calibri"/>
      <family val="2"/>
    </font>
    <font>
      <b/>
      <sz val="10"/>
      <name val="Times New Roman"/>
      <family val="1"/>
    </font>
    <font>
      <sz val="10"/>
      <name val="Times New Roman"/>
      <family val="1"/>
    </font>
    <font>
      <sz val="8"/>
      <name val="Tahoma"/>
      <family val="2"/>
    </font>
    <font>
      <b/>
      <sz val="8"/>
      <name val="Tahoma"/>
      <family val="2"/>
    </font>
    <font>
      <sz val="11"/>
      <color indexed="10"/>
      <name val="Calibri"/>
      <family val="2"/>
    </font>
    <font>
      <sz val="11"/>
      <color indexed="8"/>
      <name val="Times New Roman"/>
      <family val="1"/>
    </font>
    <font>
      <b/>
      <sz val="14"/>
      <color indexed="8"/>
      <name val="Times New Roman"/>
      <family val="1"/>
    </font>
    <font>
      <sz val="12"/>
      <color indexed="8"/>
      <name val="Calibri"/>
      <family val="2"/>
    </font>
    <font>
      <b/>
      <sz val="12"/>
      <color indexed="8"/>
      <name val="Times New Roman"/>
      <family val="1"/>
    </font>
    <font>
      <b/>
      <sz val="11"/>
      <color indexed="8"/>
      <name val="Times New Roman"/>
      <family val="1"/>
    </font>
    <font>
      <sz val="12"/>
      <color indexed="8"/>
      <name val="Times New Roman"/>
      <family val="1"/>
    </font>
    <font>
      <b/>
      <sz val="12"/>
      <color indexed="8"/>
      <name val="Calibri"/>
      <family val="2"/>
    </font>
    <font>
      <b/>
      <u val="single"/>
      <sz val="11"/>
      <color indexed="8"/>
      <name val="Calibri"/>
      <family val="2"/>
    </font>
    <font>
      <b/>
      <u val="single"/>
      <sz val="11"/>
      <color indexed="8"/>
      <name val="Times New Roman"/>
      <family val="1"/>
    </font>
    <font>
      <sz val="8"/>
      <name val="Verdana"/>
      <family val="2"/>
    </font>
    <font>
      <u val="single"/>
      <sz val="11"/>
      <color indexed="20"/>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b/>
      <sz val="11"/>
      <color indexed="8"/>
      <name val="Calibri"/>
      <family val="2"/>
    </font>
    <font>
      <sz val="10"/>
      <name val="Arial"/>
      <family val="2"/>
    </font>
    <font>
      <u val="single"/>
      <sz val="10"/>
      <color indexed="12"/>
      <name val="Arial"/>
      <family val="2"/>
    </font>
    <font>
      <sz val="8"/>
      <name val="Calibri"/>
      <family val="2"/>
    </font>
    <font>
      <u val="single"/>
      <sz val="11"/>
      <color indexed="8"/>
      <name val="Calibri"/>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border>
    <border>
      <left style="thin"/>
      <right style="thin"/>
      <top/>
      <bottom/>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right style="medium"/>
      <top/>
      <bottom style="thin"/>
    </border>
    <border>
      <left style="double"/>
      <right style="thin"/>
      <top style="medium"/>
      <bottom/>
    </border>
    <border>
      <left style="thin"/>
      <right/>
      <top style="medium"/>
      <bottom/>
    </border>
    <border>
      <left style="thin"/>
      <right style="double"/>
      <top style="medium"/>
      <bottom/>
    </border>
    <border>
      <left style="double"/>
      <right style="thin"/>
      <top/>
      <bottom/>
    </border>
    <border>
      <left style="thin"/>
      <right style="double"/>
      <top/>
      <bottom/>
    </border>
    <border>
      <left style="double"/>
      <right style="thin"/>
      <top/>
      <bottom style="medium"/>
    </border>
    <border>
      <left style="thin"/>
      <right style="thin"/>
      <top/>
      <bottom style="medium"/>
    </border>
    <border>
      <left style="thin"/>
      <right style="double"/>
      <top/>
      <bottom style="medium"/>
    </border>
    <border>
      <left style="medium"/>
      <right style="medium"/>
      <top/>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bottom style="medium"/>
    </border>
    <border>
      <left style="thin"/>
      <right style="medium"/>
      <top style="medium"/>
      <bottom/>
    </border>
    <border>
      <left style="thin"/>
      <right/>
      <top/>
      <bottom style="thin"/>
    </border>
    <border>
      <left style="thin"/>
      <right/>
      <top style="thin"/>
      <bottom style="thin"/>
    </border>
    <border>
      <left style="thin"/>
      <right style="double"/>
      <top style="thin"/>
      <bottom style="thin"/>
    </border>
    <border>
      <left style="double"/>
      <right/>
      <top style="medium"/>
      <bottom/>
    </border>
    <border>
      <left/>
      <right style="double"/>
      <top style="medium"/>
      <bottom/>
    </border>
    <border>
      <left style="double"/>
      <right/>
      <top/>
      <bottom/>
    </border>
    <border>
      <left/>
      <right style="double"/>
      <top/>
      <bottom/>
    </border>
    <border>
      <left style="double"/>
      <right/>
      <top/>
      <bottom style="thin"/>
    </border>
    <border>
      <left/>
      <right style="double"/>
      <top/>
      <bottom style="thin"/>
    </border>
    <border>
      <left style="double"/>
      <right/>
      <top style="thin"/>
      <bottom style="medium"/>
    </border>
    <border>
      <left/>
      <right/>
      <top style="thin"/>
      <bottom style="medium"/>
    </border>
    <border>
      <left/>
      <right style="double"/>
      <top style="thin"/>
      <bottom style="medium"/>
    </border>
    <border>
      <left style="double"/>
      <right style="thin"/>
      <top/>
      <bottom style="thin"/>
    </border>
    <border>
      <left style="double"/>
      <right style="thin"/>
      <top style="thin"/>
      <bottom style="thin"/>
    </border>
    <border>
      <left style="double"/>
      <right style="thin"/>
      <top style="thin"/>
      <bottom/>
    </border>
    <border>
      <left style="double"/>
      <right/>
      <top style="thin"/>
      <bottom/>
    </border>
    <border>
      <left style="double"/>
      <right/>
      <top/>
      <bottom style="double"/>
    </border>
    <border>
      <left/>
      <right/>
      <top style="double"/>
      <bottom/>
    </border>
    <border>
      <left/>
      <right style="double"/>
      <top style="double"/>
      <bottom/>
    </border>
    <border>
      <left style="double"/>
      <right/>
      <top/>
      <bottom style="medium"/>
    </border>
    <border>
      <left/>
      <right/>
      <top/>
      <bottom style="medium"/>
    </border>
    <border>
      <left/>
      <right style="double"/>
      <top/>
      <bottom style="medium"/>
    </border>
    <border>
      <left/>
      <right style="thin"/>
      <top/>
      <bottom/>
    </border>
    <border>
      <left/>
      <right style="thin"/>
      <top/>
      <bottom style="thin"/>
    </border>
    <border>
      <left style="thin"/>
      <right style="thin"/>
      <top style="thin"/>
      <bottom style="double"/>
    </border>
    <border>
      <left/>
      <right style="thin"/>
      <top/>
      <bottom style="double"/>
    </border>
    <border>
      <left style="thin"/>
      <right/>
      <top/>
      <bottom style="double"/>
    </border>
    <border>
      <left style="thin"/>
      <right style="thin"/>
      <top/>
      <bottom style="double"/>
    </border>
    <border>
      <left/>
      <right style="double"/>
      <top/>
      <bottom style="double"/>
    </border>
    <border>
      <left/>
      <right style="medium"/>
      <top style="medium"/>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6" borderId="0" applyNumberFormat="0" applyBorder="0" applyAlignment="0" applyProtection="0"/>
    <xf numFmtId="0" fontId="18" fillId="0" borderId="3" applyNumberFormat="0" applyFill="0" applyAlignment="0" applyProtection="0"/>
    <xf numFmtId="0" fontId="34"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23" fillId="0" borderId="0">
      <alignment/>
      <protection/>
    </xf>
    <xf numFmtId="0" fontId="1" fillId="29" borderId="7" applyNumberFormat="0" applyFont="0" applyAlignment="0" applyProtection="0"/>
    <xf numFmtId="0" fontId="47" fillId="24"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2">
    <xf numFmtId="0" fontId="0" fillId="0" borderId="0" xfId="0" applyFont="1" applyAlignment="1">
      <alignment/>
    </xf>
    <xf numFmtId="0" fontId="7" fillId="0" borderId="0" xfId="0" applyFont="1" applyAlignment="1">
      <alignment wrapText="1"/>
    </xf>
    <xf numFmtId="0" fontId="0" fillId="0" borderId="0" xfId="0" applyAlignment="1">
      <alignment/>
    </xf>
    <xf numFmtId="0" fontId="8" fillId="0" borderId="0" xfId="0" applyFont="1" applyAlignment="1">
      <alignment/>
    </xf>
    <xf numFmtId="0" fontId="9" fillId="0" borderId="0" xfId="0" applyFont="1" applyAlignment="1">
      <alignment/>
    </xf>
    <xf numFmtId="3" fontId="10" fillId="0" borderId="10" xfId="0" applyNumberFormat="1" applyFont="1" applyFill="1" applyBorder="1" applyAlignment="1">
      <alignment wrapText="1"/>
    </xf>
    <xf numFmtId="0" fontId="9" fillId="0" borderId="0" xfId="0" applyFont="1" applyFill="1" applyAlignment="1">
      <alignment/>
    </xf>
    <xf numFmtId="0" fontId="0" fillId="0" borderId="0" xfId="0" applyFill="1" applyAlignment="1">
      <alignment/>
    </xf>
    <xf numFmtId="3" fontId="10" fillId="0" borderId="11" xfId="0" applyNumberFormat="1" applyFont="1" applyFill="1" applyBorder="1" applyAlignment="1">
      <alignment wrapText="1"/>
    </xf>
    <xf numFmtId="43" fontId="1" fillId="0" borderId="12" xfId="42" applyFont="1" applyBorder="1" applyAlignment="1">
      <alignment/>
    </xf>
    <xf numFmtId="43" fontId="1" fillId="0" borderId="12" xfId="42" applyFont="1" applyFill="1" applyBorder="1" applyAlignment="1">
      <alignment/>
    </xf>
    <xf numFmtId="43" fontId="1" fillId="0" borderId="13" xfId="42" applyFont="1" applyBorder="1" applyAlignment="1">
      <alignment/>
    </xf>
    <xf numFmtId="43" fontId="9" fillId="0" borderId="13" xfId="42" applyFont="1" applyFill="1" applyBorder="1" applyAlignment="1">
      <alignment/>
    </xf>
    <xf numFmtId="43" fontId="1" fillId="0" borderId="13" xfId="42" applyFont="1" applyBorder="1" applyAlignment="1">
      <alignment/>
    </xf>
    <xf numFmtId="43" fontId="1" fillId="0" borderId="13" xfId="42" applyFont="1" applyFill="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3" fillId="0" borderId="17" xfId="0" applyFont="1" applyBorder="1" applyAlignment="1">
      <alignment/>
    </xf>
    <xf numFmtId="40" fontId="3" fillId="0" borderId="0" xfId="0" applyNumberFormat="1" applyFont="1" applyBorder="1" applyAlignment="1">
      <alignment/>
    </xf>
    <xf numFmtId="165" fontId="3" fillId="0" borderId="0" xfId="0" applyNumberFormat="1" applyFont="1" applyBorder="1" applyAlignment="1">
      <alignment/>
    </xf>
    <xf numFmtId="165" fontId="2" fillId="0" borderId="0" xfId="0" applyNumberFormat="1" applyFont="1" applyBorder="1" applyAlignment="1">
      <alignment/>
    </xf>
    <xf numFmtId="43" fontId="3" fillId="0" borderId="0" xfId="42" applyFont="1" applyBorder="1" applyAlignment="1">
      <alignment/>
    </xf>
    <xf numFmtId="43" fontId="3" fillId="0" borderId="18" xfId="42" applyFont="1" applyBorder="1" applyAlignment="1">
      <alignment/>
    </xf>
    <xf numFmtId="43" fontId="3" fillId="0" borderId="19" xfId="42" applyFont="1" applyBorder="1" applyAlignment="1">
      <alignment/>
    </xf>
    <xf numFmtId="43" fontId="3" fillId="0" borderId="20" xfId="42" applyFont="1" applyBorder="1" applyAlignment="1">
      <alignment/>
    </xf>
    <xf numFmtId="43" fontId="2" fillId="0" borderId="0" xfId="42"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2"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Fill="1" applyBorder="1" applyAlignment="1">
      <alignment horizontal="center"/>
    </xf>
    <xf numFmtId="4" fontId="7" fillId="0" borderId="31" xfId="0" applyNumberFormat="1" applyFont="1" applyBorder="1" applyAlignment="1">
      <alignment wrapText="1"/>
    </xf>
    <xf numFmtId="4" fontId="7" fillId="0" borderId="12" xfId="0" applyNumberFormat="1" applyFont="1" applyBorder="1" applyAlignment="1">
      <alignment wrapText="1"/>
    </xf>
    <xf numFmtId="4" fontId="7" fillId="0" borderId="32" xfId="0" applyNumberFormat="1" applyFont="1" applyBorder="1" applyAlignment="1">
      <alignment wrapText="1"/>
    </xf>
    <xf numFmtId="43" fontId="1" fillId="0" borderId="32" xfId="42" applyFont="1" applyBorder="1" applyAlignment="1">
      <alignment/>
    </xf>
    <xf numFmtId="3" fontId="10" fillId="0" borderId="31" xfId="0" applyNumberFormat="1" applyFont="1" applyFill="1" applyBorder="1" applyAlignment="1">
      <alignment wrapText="1"/>
    </xf>
    <xf numFmtId="0" fontId="2" fillId="0" borderId="33" xfId="0" applyFont="1" applyBorder="1" applyAlignment="1">
      <alignment horizontal="center"/>
    </xf>
    <xf numFmtId="0" fontId="2" fillId="0" borderId="17" xfId="0" applyFont="1" applyBorder="1" applyAlignment="1">
      <alignment horizontal="center"/>
    </xf>
    <xf numFmtId="0" fontId="2" fillId="0" borderId="34" xfId="0" applyFont="1" applyBorder="1" applyAlignment="1">
      <alignment horizontal="center"/>
    </xf>
    <xf numFmtId="43" fontId="6" fillId="0" borderId="13" xfId="42" applyFont="1" applyBorder="1" applyAlignment="1">
      <alignment/>
    </xf>
    <xf numFmtId="0" fontId="0" fillId="0" borderId="25" xfId="0" applyFill="1" applyBorder="1" applyAlignment="1">
      <alignment/>
    </xf>
    <xf numFmtId="43" fontId="1" fillId="0" borderId="25" xfId="42" applyFont="1" applyBorder="1" applyAlignment="1">
      <alignment/>
    </xf>
    <xf numFmtId="43" fontId="9" fillId="0" borderId="25" xfId="42" applyFont="1" applyFill="1" applyBorder="1" applyAlignment="1">
      <alignment/>
    </xf>
    <xf numFmtId="43" fontId="1" fillId="0" borderId="25" xfId="42" applyFont="1" applyFill="1" applyBorder="1" applyAlignment="1">
      <alignment/>
    </xf>
    <xf numFmtId="0" fontId="2" fillId="0" borderId="35" xfId="0" applyFont="1" applyBorder="1" applyAlignment="1">
      <alignment horizontal="center"/>
    </xf>
    <xf numFmtId="43" fontId="1" fillId="0" borderId="36" xfId="42" applyFont="1" applyBorder="1" applyAlignment="1">
      <alignment/>
    </xf>
    <xf numFmtId="43" fontId="7" fillId="0" borderId="12" xfId="42" applyFont="1" applyBorder="1" applyAlignment="1">
      <alignment wrapText="1"/>
    </xf>
    <xf numFmtId="43" fontId="7" fillId="0" borderId="32" xfId="42" applyFont="1" applyBorder="1" applyAlignment="1">
      <alignment wrapText="1"/>
    </xf>
    <xf numFmtId="43" fontId="10" fillId="0" borderId="10" xfId="42" applyFont="1" applyFill="1" applyBorder="1" applyAlignment="1">
      <alignment wrapText="1"/>
    </xf>
    <xf numFmtId="43" fontId="7" fillId="0" borderId="12" xfId="42" applyFont="1" applyBorder="1" applyAlignment="1">
      <alignment/>
    </xf>
    <xf numFmtId="43" fontId="10" fillId="0" borderId="31" xfId="42" applyFont="1" applyFill="1" applyBorder="1" applyAlignment="1">
      <alignment wrapText="1"/>
    </xf>
    <xf numFmtId="4" fontId="11" fillId="0" borderId="10" xfId="0" applyNumberFormat="1" applyFont="1" applyFill="1" applyBorder="1" applyAlignment="1">
      <alignment wrapText="1"/>
    </xf>
    <xf numFmtId="4" fontId="11" fillId="0" borderId="37" xfId="0" applyNumberFormat="1" applyFont="1" applyFill="1" applyBorder="1" applyAlignment="1">
      <alignment wrapText="1"/>
    </xf>
    <xf numFmtId="4" fontId="11" fillId="0" borderId="38" xfId="0" applyNumberFormat="1" applyFont="1" applyFill="1" applyBorder="1" applyAlignment="1">
      <alignment wrapText="1"/>
    </xf>
    <xf numFmtId="0" fontId="2" fillId="0" borderId="39" xfId="0" applyFont="1" applyBorder="1" applyAlignment="1">
      <alignment/>
    </xf>
    <xf numFmtId="40" fontId="3" fillId="0" borderId="15" xfId="0" applyNumberFormat="1" applyFont="1" applyBorder="1" applyAlignment="1">
      <alignment/>
    </xf>
    <xf numFmtId="165" fontId="3" fillId="0" borderId="15" xfId="0" applyNumberFormat="1" applyFont="1" applyBorder="1" applyAlignment="1">
      <alignment/>
    </xf>
    <xf numFmtId="40" fontId="3" fillId="0" borderId="40" xfId="0" applyNumberFormat="1" applyFont="1" applyBorder="1" applyAlignment="1">
      <alignment/>
    </xf>
    <xf numFmtId="0" fontId="2" fillId="0" borderId="41" xfId="0" applyFont="1" applyBorder="1" applyAlignment="1">
      <alignment/>
    </xf>
    <xf numFmtId="40" fontId="3" fillId="0" borderId="42" xfId="0" applyNumberFormat="1" applyFont="1" applyBorder="1" applyAlignment="1">
      <alignment/>
    </xf>
    <xf numFmtId="0" fontId="3" fillId="0" borderId="41" xfId="0" applyFont="1" applyBorder="1" applyAlignment="1">
      <alignment/>
    </xf>
    <xf numFmtId="40" fontId="2" fillId="0" borderId="0" xfId="0" applyNumberFormat="1" applyFont="1" applyBorder="1" applyAlignment="1">
      <alignment/>
    </xf>
    <xf numFmtId="40" fontId="2" fillId="0" borderId="42" xfId="0" applyNumberFormat="1" applyFont="1" applyBorder="1" applyAlignment="1">
      <alignment/>
    </xf>
    <xf numFmtId="0" fontId="2" fillId="0" borderId="43" xfId="0" applyFont="1" applyBorder="1" applyAlignment="1">
      <alignment/>
    </xf>
    <xf numFmtId="40" fontId="2" fillId="0" borderId="19" xfId="0" applyNumberFormat="1" applyFont="1" applyBorder="1" applyAlignment="1">
      <alignment/>
    </xf>
    <xf numFmtId="165" fontId="2" fillId="0" borderId="19" xfId="0" applyNumberFormat="1" applyFont="1" applyBorder="1" applyAlignment="1">
      <alignment/>
    </xf>
    <xf numFmtId="40" fontId="2" fillId="0" borderId="44" xfId="0" applyNumberFormat="1" applyFont="1" applyBorder="1" applyAlignment="1">
      <alignment/>
    </xf>
    <xf numFmtId="0" fontId="2" fillId="0" borderId="45" xfId="0" applyFont="1" applyBorder="1" applyAlignment="1">
      <alignment/>
    </xf>
    <xf numFmtId="40" fontId="2" fillId="0" borderId="46" xfId="0" applyNumberFormat="1" applyFont="1" applyBorder="1" applyAlignment="1">
      <alignment/>
    </xf>
    <xf numFmtId="165" fontId="2" fillId="0" borderId="46" xfId="0" applyNumberFormat="1" applyFont="1" applyBorder="1" applyAlignment="1">
      <alignment/>
    </xf>
    <xf numFmtId="40" fontId="2" fillId="30" borderId="47" xfId="0" applyNumberFormat="1" applyFont="1" applyFill="1" applyBorder="1" applyAlignment="1">
      <alignment/>
    </xf>
    <xf numFmtId="40" fontId="0" fillId="0" borderId="0" xfId="0" applyNumberFormat="1" applyAlignment="1">
      <alignment/>
    </xf>
    <xf numFmtId="0" fontId="7" fillId="0" borderId="24" xfId="0" applyFont="1" applyBorder="1" applyAlignment="1">
      <alignment wrapText="1"/>
    </xf>
    <xf numFmtId="0" fontId="7" fillId="0" borderId="48" xfId="0" applyFont="1" applyBorder="1" applyAlignment="1">
      <alignment wrapText="1"/>
    </xf>
    <xf numFmtId="0" fontId="10" fillId="0" borderId="49" xfId="0" applyFont="1" applyFill="1" applyBorder="1" applyAlignment="1">
      <alignment wrapText="1"/>
    </xf>
    <xf numFmtId="0" fontId="10" fillId="31" borderId="50" xfId="0" applyFont="1" applyFill="1" applyBorder="1" applyAlignment="1">
      <alignment wrapText="1"/>
    </xf>
    <xf numFmtId="0" fontId="7" fillId="0" borderId="24" xfId="0" applyFont="1" applyBorder="1" applyAlignment="1">
      <alignment/>
    </xf>
    <xf numFmtId="0" fontId="12" fillId="0" borderId="24" xfId="0" applyFont="1" applyFill="1" applyBorder="1" applyAlignment="1">
      <alignment wrapText="1"/>
    </xf>
    <xf numFmtId="0" fontId="12" fillId="0" borderId="48" xfId="0" applyFont="1" applyFill="1" applyBorder="1" applyAlignment="1">
      <alignment wrapText="1"/>
    </xf>
    <xf numFmtId="0" fontId="10" fillId="0" borderId="50" xfId="0" applyFont="1" applyFill="1" applyBorder="1" applyAlignment="1">
      <alignment wrapText="1"/>
    </xf>
    <xf numFmtId="0" fontId="10" fillId="0" borderId="51" xfId="0" applyFont="1" applyFill="1" applyBorder="1" applyAlignment="1">
      <alignment wrapText="1"/>
    </xf>
    <xf numFmtId="0" fontId="10" fillId="0" borderId="41" xfId="0" applyFont="1" applyBorder="1" applyAlignment="1">
      <alignment/>
    </xf>
    <xf numFmtId="0" fontId="7" fillId="0" borderId="41" xfId="0" applyFont="1" applyBorder="1" applyAlignment="1">
      <alignment wrapText="1"/>
    </xf>
    <xf numFmtId="0" fontId="7" fillId="0" borderId="43" xfId="0" applyFont="1" applyBorder="1" applyAlignment="1">
      <alignment wrapText="1"/>
    </xf>
    <xf numFmtId="0" fontId="10" fillId="0" borderId="51" xfId="0" applyFont="1" applyBorder="1" applyAlignment="1">
      <alignment/>
    </xf>
    <xf numFmtId="0" fontId="7" fillId="0" borderId="52" xfId="0" applyFont="1" applyBorder="1" applyAlignment="1">
      <alignment wrapText="1"/>
    </xf>
    <xf numFmtId="0" fontId="8" fillId="0" borderId="53" xfId="0" applyFont="1" applyBorder="1" applyAlignment="1">
      <alignment/>
    </xf>
    <xf numFmtId="0" fontId="8" fillId="0" borderId="54" xfId="0" applyFont="1" applyBorder="1" applyAlignment="1">
      <alignment/>
    </xf>
    <xf numFmtId="0" fontId="8" fillId="0" borderId="0" xfId="0" applyFont="1" applyBorder="1" applyAlignment="1">
      <alignment/>
    </xf>
    <xf numFmtId="0" fontId="8" fillId="0" borderId="42" xfId="0" applyFont="1" applyBorder="1" applyAlignment="1">
      <alignment/>
    </xf>
    <xf numFmtId="0" fontId="8" fillId="0" borderId="55" xfId="0" applyFont="1" applyBorder="1" applyAlignment="1">
      <alignment/>
    </xf>
    <xf numFmtId="0" fontId="8" fillId="0" borderId="56" xfId="0" applyFont="1" applyBorder="1" applyAlignment="1">
      <alignment/>
    </xf>
    <xf numFmtId="0" fontId="8" fillId="0" borderId="57" xfId="0" applyFont="1" applyBorder="1" applyAlignment="1">
      <alignment/>
    </xf>
    <xf numFmtId="0" fontId="11" fillId="0" borderId="50" xfId="0" applyFont="1" applyFill="1" applyBorder="1" applyAlignment="1">
      <alignment wrapText="1"/>
    </xf>
    <xf numFmtId="43" fontId="13" fillId="0" borderId="37" xfId="42" applyFont="1" applyBorder="1" applyAlignment="1">
      <alignment/>
    </xf>
    <xf numFmtId="43" fontId="13" fillId="0" borderId="38" xfId="42" applyFont="1" applyBorder="1" applyAlignment="1">
      <alignment/>
    </xf>
    <xf numFmtId="43" fontId="6" fillId="0" borderId="25" xfId="42" applyFont="1" applyBorder="1" applyAlignment="1">
      <alignment/>
    </xf>
    <xf numFmtId="0" fontId="0" fillId="0" borderId="0" xfId="0" applyAlignment="1">
      <alignment wrapText="1"/>
    </xf>
    <xf numFmtId="0" fontId="2" fillId="0" borderId="0" xfId="0" applyFont="1" applyFill="1" applyBorder="1" applyAlignment="1">
      <alignment horizontal="center" wrapText="1"/>
    </xf>
    <xf numFmtId="0" fontId="9" fillId="0" borderId="0" xfId="0" applyFont="1" applyAlignment="1">
      <alignment wrapText="1"/>
    </xf>
    <xf numFmtId="0" fontId="9" fillId="0" borderId="0" xfId="0" applyFont="1" applyFill="1" applyAlignment="1">
      <alignment wrapText="1"/>
    </xf>
    <xf numFmtId="0" fontId="0" fillId="0" borderId="0" xfId="0" applyFill="1" applyAlignment="1">
      <alignment wrapText="1"/>
    </xf>
    <xf numFmtId="43" fontId="13" fillId="0" borderId="10" xfId="42" applyFont="1" applyFill="1" applyBorder="1" applyAlignment="1">
      <alignment wrapText="1"/>
    </xf>
    <xf numFmtId="4" fontId="13" fillId="0" borderId="10" xfId="0" applyNumberFormat="1" applyFont="1" applyFill="1" applyBorder="1" applyAlignment="1">
      <alignment wrapText="1"/>
    </xf>
    <xf numFmtId="4" fontId="13" fillId="0" borderId="37" xfId="0" applyNumberFormat="1" applyFont="1" applyFill="1" applyBorder="1" applyAlignment="1">
      <alignment wrapText="1"/>
    </xf>
    <xf numFmtId="4" fontId="13" fillId="0" borderId="38" xfId="0" applyNumberFormat="1" applyFont="1" applyFill="1" applyBorder="1" applyAlignment="1">
      <alignment wrapText="1"/>
    </xf>
    <xf numFmtId="0" fontId="10" fillId="32" borderId="50" xfId="0" applyFont="1" applyFill="1" applyBorder="1" applyAlignment="1">
      <alignment wrapText="1"/>
    </xf>
    <xf numFmtId="43" fontId="13" fillId="32" borderId="31" xfId="42" applyFont="1" applyFill="1" applyBorder="1" applyAlignment="1">
      <alignment wrapText="1"/>
    </xf>
    <xf numFmtId="4" fontId="13" fillId="32" borderId="31" xfId="0" applyNumberFormat="1" applyFont="1" applyFill="1" applyBorder="1" applyAlignment="1">
      <alignment wrapText="1"/>
    </xf>
    <xf numFmtId="4" fontId="13" fillId="32" borderId="13" xfId="0" applyNumberFormat="1" applyFont="1" applyFill="1" applyBorder="1" applyAlignment="1">
      <alignment wrapText="1"/>
    </xf>
    <xf numFmtId="4" fontId="13" fillId="32" borderId="25" xfId="0" applyNumberFormat="1" applyFont="1" applyFill="1" applyBorder="1" applyAlignment="1">
      <alignment wrapText="1"/>
    </xf>
    <xf numFmtId="3" fontId="11" fillId="31" borderId="10" xfId="0" applyNumberFormat="1" applyFont="1" applyFill="1" applyBorder="1" applyAlignment="1">
      <alignment wrapText="1"/>
    </xf>
    <xf numFmtId="3" fontId="11" fillId="31" borderId="38" xfId="0" applyNumberFormat="1" applyFont="1" applyFill="1" applyBorder="1" applyAlignment="1">
      <alignment wrapText="1"/>
    </xf>
    <xf numFmtId="3" fontId="11" fillId="31" borderId="58" xfId="0" applyNumberFormat="1" applyFont="1" applyFill="1" applyBorder="1" applyAlignment="1">
      <alignment wrapText="1"/>
    </xf>
    <xf numFmtId="43" fontId="1" fillId="31" borderId="13" xfId="42" applyFont="1" applyFill="1" applyBorder="1" applyAlignment="1">
      <alignment/>
    </xf>
    <xf numFmtId="43" fontId="1" fillId="31" borderId="12" xfId="42" applyFont="1" applyFill="1" applyBorder="1" applyAlignment="1">
      <alignment/>
    </xf>
    <xf numFmtId="0" fontId="0" fillId="31" borderId="42" xfId="0" applyFill="1" applyBorder="1" applyAlignment="1">
      <alignment/>
    </xf>
    <xf numFmtId="164" fontId="11" fillId="31" borderId="10" xfId="0" applyNumberFormat="1" applyFont="1" applyFill="1" applyBorder="1" applyAlignment="1">
      <alignment wrapText="1"/>
    </xf>
    <xf numFmtId="9" fontId="7" fillId="31" borderId="32" xfId="0" applyNumberFormat="1" applyFont="1" applyFill="1" applyBorder="1" applyAlignment="1">
      <alignment wrapText="1"/>
    </xf>
    <xf numFmtId="9" fontId="7" fillId="31" borderId="59" xfId="0" applyNumberFormat="1" applyFont="1" applyFill="1" applyBorder="1" applyAlignment="1">
      <alignment wrapText="1"/>
    </xf>
    <xf numFmtId="0" fontId="0" fillId="31" borderId="12" xfId="0" applyFill="1" applyBorder="1" applyAlignment="1">
      <alignment/>
    </xf>
    <xf numFmtId="164" fontId="11" fillId="31" borderId="60" xfId="0" applyNumberFormat="1" applyFont="1" applyFill="1" applyBorder="1" applyAlignment="1">
      <alignment wrapText="1"/>
    </xf>
    <xf numFmtId="3" fontId="11" fillId="31" borderId="61" xfId="0" applyNumberFormat="1" applyFont="1" applyFill="1" applyBorder="1" applyAlignment="1">
      <alignment wrapText="1"/>
    </xf>
    <xf numFmtId="0" fontId="0" fillId="31" borderId="62" xfId="0" applyFill="1" applyBorder="1" applyAlignment="1">
      <alignment/>
    </xf>
    <xf numFmtId="0" fontId="0" fillId="31" borderId="63" xfId="0" applyFill="1" applyBorder="1" applyAlignment="1">
      <alignment/>
    </xf>
    <xf numFmtId="0" fontId="0" fillId="31" borderId="64" xfId="0" applyFill="1" applyBorder="1" applyAlignment="1">
      <alignment/>
    </xf>
    <xf numFmtId="0" fontId="12" fillId="32" borderId="50" xfId="0" applyFont="1" applyFill="1" applyBorder="1" applyAlignment="1">
      <alignment wrapText="1"/>
    </xf>
    <xf numFmtId="43" fontId="9" fillId="32" borderId="31" xfId="42" applyFont="1" applyFill="1" applyBorder="1" applyAlignment="1">
      <alignment wrapText="1"/>
    </xf>
    <xf numFmtId="4" fontId="9" fillId="32" borderId="31" xfId="0" applyNumberFormat="1" applyFont="1" applyFill="1" applyBorder="1" applyAlignment="1">
      <alignment wrapText="1"/>
    </xf>
    <xf numFmtId="4" fontId="9" fillId="32" borderId="13" xfId="0" applyNumberFormat="1" applyFont="1" applyFill="1" applyBorder="1" applyAlignment="1">
      <alignment wrapText="1"/>
    </xf>
    <xf numFmtId="4" fontId="9" fillId="32" borderId="25" xfId="0" applyNumberFormat="1" applyFont="1" applyFill="1" applyBorder="1" applyAlignment="1">
      <alignment wrapText="1"/>
    </xf>
    <xf numFmtId="3" fontId="0" fillId="0" borderId="0" xfId="0" applyNumberFormat="1" applyFont="1" applyAlignment="1">
      <alignment/>
    </xf>
    <xf numFmtId="0" fontId="11" fillId="0" borderId="0" xfId="0" applyFont="1" applyAlignment="1">
      <alignment/>
    </xf>
    <xf numFmtId="0" fontId="0" fillId="0" borderId="0" xfId="0" applyAlignment="1" quotePrefix="1">
      <alignment/>
    </xf>
    <xf numFmtId="0" fontId="0" fillId="0" borderId="0" xfId="0" applyAlignment="1" quotePrefix="1">
      <alignment/>
    </xf>
    <xf numFmtId="0" fontId="11" fillId="0" borderId="0" xfId="0" applyFont="1" applyAlignment="1">
      <alignment wrapText="1"/>
    </xf>
    <xf numFmtId="41" fontId="1" fillId="0" borderId="0" xfId="61" applyNumberFormat="1" applyFont="1" applyAlignment="1">
      <alignment wrapText="1"/>
    </xf>
    <xf numFmtId="41" fontId="1" fillId="0" borderId="0" xfId="44" applyNumberFormat="1" applyFont="1" applyAlignment="1">
      <alignment wrapText="1"/>
    </xf>
    <xf numFmtId="41" fontId="0" fillId="0" borderId="0" xfId="0" applyNumberFormat="1" applyFont="1" applyAlignment="1">
      <alignment wrapText="1"/>
    </xf>
    <xf numFmtId="178" fontId="0" fillId="0" borderId="0" xfId="0" applyNumberFormat="1" applyAlignment="1">
      <alignment wrapText="1"/>
    </xf>
    <xf numFmtId="178" fontId="1" fillId="0" borderId="0" xfId="61" applyNumberFormat="1" applyFont="1" applyAlignment="1">
      <alignment wrapText="1"/>
    </xf>
    <xf numFmtId="178" fontId="22" fillId="0" borderId="0" xfId="44" applyNumberFormat="1" applyFont="1" applyAlignment="1">
      <alignment wrapText="1"/>
    </xf>
    <xf numFmtId="179" fontId="0" fillId="0" borderId="0" xfId="0" applyNumberFormat="1" applyAlignment="1">
      <alignment wrapText="1"/>
    </xf>
    <xf numFmtId="179" fontId="1" fillId="0" borderId="0" xfId="44" applyNumberFormat="1" applyFont="1" applyAlignment="1">
      <alignment wrapText="1"/>
    </xf>
    <xf numFmtId="179" fontId="22" fillId="0" borderId="0" xfId="44" applyNumberFormat="1" applyFont="1" applyAlignment="1">
      <alignment wrapText="1"/>
    </xf>
    <xf numFmtId="9" fontId="1" fillId="0" borderId="0" xfId="61" applyFont="1" applyAlignment="1">
      <alignment horizontal="right"/>
    </xf>
    <xf numFmtId="9" fontId="0" fillId="0" borderId="0" xfId="0" applyNumberFormat="1" applyAlignment="1">
      <alignment horizontal="right"/>
    </xf>
    <xf numFmtId="0" fontId="14" fillId="0" borderId="0" xfId="0" applyFont="1" applyFill="1" applyAlignment="1">
      <alignment/>
    </xf>
    <xf numFmtId="0" fontId="26" fillId="0" borderId="0" xfId="0" applyFont="1" applyAlignment="1">
      <alignment/>
    </xf>
    <xf numFmtId="0" fontId="1" fillId="0" borderId="0" xfId="0" applyFont="1" applyAlignment="1">
      <alignment/>
    </xf>
    <xf numFmtId="0" fontId="14" fillId="0" borderId="0" xfId="0" applyFont="1" applyAlignment="1">
      <alignment/>
    </xf>
    <xf numFmtId="0" fontId="26" fillId="0" borderId="0" xfId="0" applyFont="1" applyFill="1" applyAlignment="1">
      <alignment/>
    </xf>
    <xf numFmtId="0" fontId="0" fillId="0" borderId="0" xfId="0" applyNumberFormat="1" applyAlignment="1">
      <alignment/>
    </xf>
    <xf numFmtId="0" fontId="1" fillId="0" borderId="0" xfId="0" applyFont="1" applyAlignment="1">
      <alignment wrapText="1"/>
    </xf>
    <xf numFmtId="0" fontId="15" fillId="0" borderId="0" xfId="0" applyFont="1" applyFill="1" applyAlignment="1">
      <alignment/>
    </xf>
    <xf numFmtId="0" fontId="0" fillId="0" borderId="0" xfId="0" applyFill="1" applyAlignment="1" quotePrefix="1">
      <alignment/>
    </xf>
    <xf numFmtId="9" fontId="1" fillId="0" borderId="0" xfId="61" applyFont="1" applyAlignment="1">
      <alignment/>
    </xf>
    <xf numFmtId="0" fontId="7" fillId="0" borderId="0" xfId="0" applyFont="1" applyAlignment="1">
      <alignment/>
    </xf>
    <xf numFmtId="179" fontId="0" fillId="0" borderId="0" xfId="0" applyNumberFormat="1" applyFont="1" applyAlignment="1">
      <alignment/>
    </xf>
    <xf numFmtId="0" fontId="27" fillId="0" borderId="0" xfId="0" applyFont="1" applyAlignment="1">
      <alignment/>
    </xf>
    <xf numFmtId="9" fontId="1" fillId="0" borderId="0" xfId="61" applyFont="1" applyAlignment="1">
      <alignment/>
    </xf>
    <xf numFmtId="0" fontId="14" fillId="0" borderId="0" xfId="0" applyFont="1" applyAlignment="1">
      <alignment/>
    </xf>
    <xf numFmtId="17" fontId="0" fillId="0" borderId="0" xfId="0" applyNumberFormat="1" applyAlignment="1">
      <alignment/>
    </xf>
    <xf numFmtId="49" fontId="0" fillId="0" borderId="0" xfId="0" applyNumberFormat="1" applyAlignment="1">
      <alignment/>
    </xf>
    <xf numFmtId="49" fontId="0" fillId="0" borderId="0" xfId="0" applyNumberFormat="1" applyFill="1" applyAlignment="1">
      <alignment/>
    </xf>
    <xf numFmtId="0" fontId="14" fillId="0" borderId="0" xfId="0" applyNumberFormat="1" applyFont="1" applyAlignment="1">
      <alignment/>
    </xf>
    <xf numFmtId="0" fontId="0" fillId="0" borderId="0" xfId="0" applyNumberFormat="1" applyAlignment="1" quotePrefix="1">
      <alignment/>
    </xf>
    <xf numFmtId="0" fontId="11" fillId="0" borderId="0" xfId="0" applyFont="1" applyFill="1" applyAlignment="1">
      <alignment wrapText="1"/>
    </xf>
    <xf numFmtId="0" fontId="11" fillId="0" borderId="0" xfId="0" applyFont="1" applyFill="1" applyAlignment="1">
      <alignment/>
    </xf>
    <xf numFmtId="43" fontId="0" fillId="0" borderId="0" xfId="0" applyNumberFormat="1" applyAlignment="1">
      <alignment/>
    </xf>
    <xf numFmtId="3" fontId="11" fillId="0" borderId="10" xfId="0" applyNumberFormat="1" applyFont="1" applyFill="1" applyBorder="1" applyAlignment="1">
      <alignment wrapText="1"/>
    </xf>
    <xf numFmtId="0" fontId="2" fillId="0" borderId="33" xfId="0" applyFont="1" applyBorder="1" applyAlignment="1">
      <alignment horizontal="center"/>
    </xf>
    <xf numFmtId="0" fontId="2" fillId="0" borderId="65" xfId="0" applyFont="1" applyBorder="1" applyAlignment="1">
      <alignment horizontal="center"/>
    </xf>
    <xf numFmtId="0" fontId="14" fillId="0" borderId="0" xfId="0" applyFont="1" applyAlignment="1">
      <alignment horizontal="center"/>
    </xf>
    <xf numFmtId="0" fontId="26"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zoomScalePageLayoutView="0" workbookViewId="0" topLeftCell="A1">
      <pane xSplit="6" ySplit="7" topLeftCell="I60" activePane="bottomRight" state="frozen"/>
      <selection pane="topLeft" activeCell="A1" sqref="A1"/>
      <selection pane="topRight" activeCell="G1" sqref="G1"/>
      <selection pane="bottomLeft" activeCell="A8" sqref="A8"/>
      <selection pane="bottomRight" activeCell="O67" sqref="O67"/>
    </sheetView>
  </sheetViews>
  <sheetFormatPr defaultColWidth="8.8515625" defaultRowHeight="15"/>
  <cols>
    <col min="1" max="1" width="49.421875" style="0" customWidth="1"/>
    <col min="2" max="2" width="18.421875" style="0" customWidth="1"/>
    <col min="3" max="3" width="18.28125" style="0" customWidth="1"/>
    <col min="4" max="4" width="14.421875" style="0" bestFit="1" customWidth="1"/>
    <col min="5" max="5" width="14.421875" style="0" customWidth="1"/>
    <col min="6" max="6" width="14.421875" style="0" bestFit="1" customWidth="1"/>
    <col min="7" max="7" width="13.28125" style="0" customWidth="1"/>
    <col min="8" max="8" width="38.8515625" style="0" customWidth="1"/>
  </cols>
  <sheetData>
    <row r="1" spans="1:7" s="3" customFormat="1" ht="21.75" thickTop="1">
      <c r="A1" s="166" t="s">
        <v>26</v>
      </c>
      <c r="B1" s="93"/>
      <c r="C1" s="93"/>
      <c r="D1" s="93"/>
      <c r="E1" s="93"/>
      <c r="F1" s="93"/>
      <c r="G1" s="94"/>
    </row>
    <row r="2" spans="1:7" s="3" customFormat="1" ht="18.75">
      <c r="A2"/>
      <c r="B2" s="95"/>
      <c r="C2" s="95"/>
      <c r="D2" s="95"/>
      <c r="E2" s="95"/>
      <c r="F2" s="95"/>
      <c r="G2" s="96"/>
    </row>
    <row r="3" spans="1:7" s="3" customFormat="1" ht="18.75">
      <c r="A3" t="s">
        <v>129</v>
      </c>
      <c r="B3" s="95"/>
      <c r="C3" s="95"/>
      <c r="D3" s="95"/>
      <c r="E3" s="95"/>
      <c r="F3" s="95"/>
      <c r="G3" s="96"/>
    </row>
    <row r="4" spans="1:7" s="3" customFormat="1" ht="19.5" thickBot="1">
      <c r="A4" s="97"/>
      <c r="B4" s="98"/>
      <c r="C4" s="98"/>
      <c r="D4" s="98"/>
      <c r="E4" s="98"/>
      <c r="F4" s="98"/>
      <c r="G4" s="99"/>
    </row>
    <row r="5" spans="1:8" ht="15">
      <c r="A5" s="27"/>
      <c r="B5" s="28"/>
      <c r="C5" s="51"/>
      <c r="D5" s="178" t="s">
        <v>97</v>
      </c>
      <c r="E5" s="179"/>
      <c r="F5" s="43"/>
      <c r="G5" s="29" t="s">
        <v>27</v>
      </c>
      <c r="H5" s="104"/>
    </row>
    <row r="6" spans="1:8" ht="15">
      <c r="A6" s="30" t="s">
        <v>28</v>
      </c>
      <c r="B6" s="31" t="s">
        <v>18</v>
      </c>
      <c r="C6" s="31" t="s">
        <v>18</v>
      </c>
      <c r="D6" s="36" t="s">
        <v>29</v>
      </c>
      <c r="E6" s="36" t="s">
        <v>29</v>
      </c>
      <c r="F6" s="44" t="s">
        <v>32</v>
      </c>
      <c r="G6" s="32" t="s">
        <v>96</v>
      </c>
      <c r="H6" s="105" t="s">
        <v>99</v>
      </c>
    </row>
    <row r="7" spans="1:8" ht="15.75" thickBot="1">
      <c r="A7" s="33"/>
      <c r="B7" s="34" t="s">
        <v>20</v>
      </c>
      <c r="C7" s="45" t="s">
        <v>22</v>
      </c>
      <c r="D7" s="37" t="s">
        <v>20</v>
      </c>
      <c r="E7" s="37" t="s">
        <v>31</v>
      </c>
      <c r="F7" s="45" t="s">
        <v>20</v>
      </c>
      <c r="G7" s="35" t="s">
        <v>22</v>
      </c>
      <c r="H7" s="104"/>
    </row>
    <row r="8" spans="1:8" ht="15">
      <c r="A8" s="79" t="s">
        <v>74</v>
      </c>
      <c r="B8" s="53">
        <v>50000</v>
      </c>
      <c r="C8" s="39">
        <f>SUM(B8/225)</f>
        <v>222.22222222222223</v>
      </c>
      <c r="D8" s="11">
        <v>4000</v>
      </c>
      <c r="E8" s="9">
        <f>+D8/230.23</f>
        <v>17.37393041740868</v>
      </c>
      <c r="F8" s="11">
        <f>+B8-D8</f>
        <v>46000</v>
      </c>
      <c r="G8" s="48">
        <f>+C8-E8</f>
        <v>204.84829180481356</v>
      </c>
      <c r="H8" s="104"/>
    </row>
    <row r="9" spans="1:8" ht="30">
      <c r="A9" s="79" t="s">
        <v>57</v>
      </c>
      <c r="B9" s="53">
        <v>600000</v>
      </c>
      <c r="C9" s="39">
        <f aca="true" t="shared" si="0" ref="C9:C56">SUM(B9/225)</f>
        <v>2666.6666666666665</v>
      </c>
      <c r="D9" s="11">
        <v>0</v>
      </c>
      <c r="E9" s="9">
        <f aca="true" t="shared" si="1" ref="E9:E19">+D9/230.23</f>
        <v>0</v>
      </c>
      <c r="F9" s="11">
        <f aca="true" t="shared" si="2" ref="F9:F19">+B9-D9</f>
        <v>600000</v>
      </c>
      <c r="G9" s="48">
        <f aca="true" t="shared" si="3" ref="G9:G19">+C9-E9</f>
        <v>2666.6666666666665</v>
      </c>
      <c r="H9" s="104" t="s">
        <v>98</v>
      </c>
    </row>
    <row r="10" spans="1:8" ht="24" customHeight="1">
      <c r="A10" s="79" t="s">
        <v>58</v>
      </c>
      <c r="B10" s="53">
        <v>1000000</v>
      </c>
      <c r="C10" s="39">
        <f t="shared" si="0"/>
        <v>4444.444444444444</v>
      </c>
      <c r="D10" s="11">
        <v>345200</v>
      </c>
      <c r="E10" s="9">
        <f>+D10/230.23</f>
        <v>1499.370195022369</v>
      </c>
      <c r="F10" s="11">
        <f t="shared" si="2"/>
        <v>654800</v>
      </c>
      <c r="G10" s="48">
        <f t="shared" si="3"/>
        <v>2945.0742494220754</v>
      </c>
      <c r="H10" s="104" t="s">
        <v>100</v>
      </c>
    </row>
    <row r="11" spans="1:8" ht="26.25" customHeight="1">
      <c r="A11" s="79" t="s">
        <v>59</v>
      </c>
      <c r="B11" s="53">
        <v>50000</v>
      </c>
      <c r="C11" s="39">
        <f t="shared" si="0"/>
        <v>222.22222222222223</v>
      </c>
      <c r="D11" s="11">
        <v>6077.5</v>
      </c>
      <c r="E11" s="9">
        <f t="shared" si="1"/>
        <v>26.39751552795031</v>
      </c>
      <c r="F11" s="11">
        <f t="shared" si="2"/>
        <v>43922.5</v>
      </c>
      <c r="G11" s="48">
        <f t="shared" si="3"/>
        <v>195.82470669427192</v>
      </c>
      <c r="H11" s="104" t="s">
        <v>101</v>
      </c>
    </row>
    <row r="12" spans="1:8" ht="15" customHeight="1">
      <c r="A12" s="79" t="s">
        <v>60</v>
      </c>
      <c r="B12" s="53">
        <v>795600</v>
      </c>
      <c r="C12" s="39">
        <f t="shared" si="0"/>
        <v>3536</v>
      </c>
      <c r="D12" s="11">
        <v>780320</v>
      </c>
      <c r="E12" s="9">
        <f t="shared" si="1"/>
        <v>3389.306345828085</v>
      </c>
      <c r="F12" s="11">
        <f t="shared" si="2"/>
        <v>15280</v>
      </c>
      <c r="G12" s="48">
        <f t="shared" si="3"/>
        <v>146.6936541719151</v>
      </c>
      <c r="H12" s="104"/>
    </row>
    <row r="13" spans="1:8" ht="30" customHeight="1">
      <c r="A13" s="79" t="s">
        <v>61</v>
      </c>
      <c r="B13" s="53">
        <v>120000</v>
      </c>
      <c r="C13" s="39">
        <f t="shared" si="0"/>
        <v>533.3333333333334</v>
      </c>
      <c r="D13" s="11">
        <v>311300</v>
      </c>
      <c r="E13" s="9">
        <f t="shared" si="1"/>
        <v>1352.1261347348304</v>
      </c>
      <c r="F13" s="46">
        <f t="shared" si="2"/>
        <v>-191300</v>
      </c>
      <c r="G13" s="103">
        <f t="shared" si="3"/>
        <v>-818.7928014014971</v>
      </c>
      <c r="H13" s="104" t="s">
        <v>102</v>
      </c>
    </row>
    <row r="14" spans="1:8" ht="44.25" customHeight="1">
      <c r="A14" s="79" t="s">
        <v>70</v>
      </c>
      <c r="B14" s="53">
        <v>382500</v>
      </c>
      <c r="C14" s="39">
        <f t="shared" si="0"/>
        <v>1700</v>
      </c>
      <c r="D14" s="11">
        <f>1389100+463360</f>
        <v>1852460</v>
      </c>
      <c r="E14" s="9">
        <f t="shared" si="1"/>
        <v>8046.127785258221</v>
      </c>
      <c r="F14" s="46">
        <f t="shared" si="2"/>
        <v>-1469960</v>
      </c>
      <c r="G14" s="103">
        <f t="shared" si="3"/>
        <v>-6346.127785258221</v>
      </c>
      <c r="H14" s="104" t="s">
        <v>37</v>
      </c>
    </row>
    <row r="15" spans="1:8" ht="30">
      <c r="A15" s="79" t="s">
        <v>62</v>
      </c>
      <c r="B15" s="53">
        <v>100000</v>
      </c>
      <c r="C15" s="39">
        <f t="shared" si="0"/>
        <v>444.44444444444446</v>
      </c>
      <c r="D15" s="11">
        <v>0</v>
      </c>
      <c r="E15" s="9">
        <f t="shared" si="1"/>
        <v>0</v>
      </c>
      <c r="F15" s="11">
        <f t="shared" si="2"/>
        <v>100000</v>
      </c>
      <c r="G15" s="48">
        <f t="shared" si="3"/>
        <v>444.44444444444446</v>
      </c>
      <c r="H15" s="104" t="s">
        <v>38</v>
      </c>
    </row>
    <row r="16" spans="1:8" ht="15">
      <c r="A16" s="79" t="s">
        <v>73</v>
      </c>
      <c r="B16" s="53">
        <v>468000</v>
      </c>
      <c r="C16" s="39">
        <f t="shared" si="0"/>
        <v>2080</v>
      </c>
      <c r="D16" s="11">
        <v>99500</v>
      </c>
      <c r="E16" s="9">
        <f t="shared" si="1"/>
        <v>432.17651913304087</v>
      </c>
      <c r="F16" s="11">
        <f t="shared" si="2"/>
        <v>368500</v>
      </c>
      <c r="G16" s="48">
        <f t="shared" si="3"/>
        <v>1647.823480866959</v>
      </c>
      <c r="H16" s="104" t="s">
        <v>39</v>
      </c>
    </row>
    <row r="17" spans="1:8" ht="15">
      <c r="A17" s="79" t="s">
        <v>63</v>
      </c>
      <c r="B17" s="53">
        <v>150000</v>
      </c>
      <c r="C17" s="39">
        <f t="shared" si="0"/>
        <v>666.6666666666666</v>
      </c>
      <c r="D17" s="11">
        <v>30360.57</v>
      </c>
      <c r="E17" s="9">
        <f t="shared" si="1"/>
        <v>131.87060765321635</v>
      </c>
      <c r="F17" s="11">
        <f t="shared" si="2"/>
        <v>119639.43</v>
      </c>
      <c r="G17" s="48">
        <f t="shared" si="3"/>
        <v>534.7960590134503</v>
      </c>
      <c r="H17" s="104"/>
    </row>
    <row r="18" spans="1:8" ht="30">
      <c r="A18" s="79" t="s">
        <v>10</v>
      </c>
      <c r="B18" s="53">
        <v>350000</v>
      </c>
      <c r="C18" s="39">
        <f t="shared" si="0"/>
        <v>1555.5555555555557</v>
      </c>
      <c r="D18" s="11">
        <v>1120740</v>
      </c>
      <c r="E18" s="9">
        <f>+D18/230.23</f>
        <v>4867.914694001651</v>
      </c>
      <c r="F18" s="46">
        <f t="shared" si="2"/>
        <v>-770740</v>
      </c>
      <c r="G18" s="103">
        <f t="shared" si="3"/>
        <v>-3312.359138446095</v>
      </c>
      <c r="H18" s="104" t="s">
        <v>105</v>
      </c>
    </row>
    <row r="19" spans="1:8" ht="30">
      <c r="A19" s="80" t="s">
        <v>12</v>
      </c>
      <c r="B19" s="54">
        <v>2490000</v>
      </c>
      <c r="C19" s="40">
        <f t="shared" si="0"/>
        <v>11066.666666666666</v>
      </c>
      <c r="D19" s="52">
        <v>1135260</v>
      </c>
      <c r="E19" s="41">
        <f t="shared" si="1"/>
        <v>4930.982061416844</v>
      </c>
      <c r="F19" s="11">
        <f t="shared" si="2"/>
        <v>1354740</v>
      </c>
      <c r="G19" s="48">
        <f t="shared" si="3"/>
        <v>6135.684605249822</v>
      </c>
      <c r="H19" s="104" t="s">
        <v>40</v>
      </c>
    </row>
    <row r="20" spans="1:8" s="4" customFormat="1" ht="15.75">
      <c r="A20" s="81" t="s">
        <v>75</v>
      </c>
      <c r="B20" s="55">
        <f>SUM(B7:B19)</f>
        <v>6556100</v>
      </c>
      <c r="C20" s="58">
        <f>SUM(C8:C19)</f>
        <v>29138.22222222222</v>
      </c>
      <c r="D20" s="101">
        <f>SUM(D8:D19)</f>
        <v>5685218.07</v>
      </c>
      <c r="E20" s="101">
        <f>SUM(E8:E19)</f>
        <v>24693.645788993614</v>
      </c>
      <c r="F20" s="101">
        <f>SUM(F8:F19)</f>
        <v>870881.9299999999</v>
      </c>
      <c r="G20" s="102">
        <f>SUM(G7:G19)</f>
        <v>4444.576433228606</v>
      </c>
      <c r="H20" s="106"/>
    </row>
    <row r="21" spans="1:8" s="6" customFormat="1" ht="15.75">
      <c r="A21" s="82" t="s">
        <v>76</v>
      </c>
      <c r="B21" s="57"/>
      <c r="C21" s="38"/>
      <c r="D21" s="12"/>
      <c r="E21" s="12"/>
      <c r="F21" s="12"/>
      <c r="G21" s="49"/>
      <c r="H21" s="107"/>
    </row>
    <row r="22" spans="1:8" s="2" customFormat="1" ht="48.75" customHeight="1">
      <c r="A22" s="83" t="s">
        <v>64</v>
      </c>
      <c r="B22" s="56">
        <v>5000000</v>
      </c>
      <c r="C22" s="39">
        <f t="shared" si="0"/>
        <v>22222.222222222223</v>
      </c>
      <c r="D22" s="13">
        <v>4550122</v>
      </c>
      <c r="E22" s="9">
        <f aca="true" t="shared" si="4" ref="E22:E27">+D22/230.23</f>
        <v>19763.375754680103</v>
      </c>
      <c r="F22" s="11">
        <f aca="true" t="shared" si="5" ref="F22:G27">+B22-D22</f>
        <v>449878</v>
      </c>
      <c r="G22" s="48">
        <f t="shared" si="5"/>
        <v>2458.84646754212</v>
      </c>
      <c r="H22" s="104" t="s">
        <v>41</v>
      </c>
    </row>
    <row r="23" spans="1:8" s="2" customFormat="1" ht="16.5" customHeight="1">
      <c r="A23" s="83" t="s">
        <v>72</v>
      </c>
      <c r="B23" s="56">
        <v>400000</v>
      </c>
      <c r="C23" s="39">
        <f t="shared" si="0"/>
        <v>1777.7777777777778</v>
      </c>
      <c r="D23" s="13">
        <v>601582.52</v>
      </c>
      <c r="E23" s="9">
        <f t="shared" si="4"/>
        <v>2612.9632107023413</v>
      </c>
      <c r="F23" s="46">
        <f t="shared" si="5"/>
        <v>-201582.52000000002</v>
      </c>
      <c r="G23" s="103">
        <f t="shared" si="5"/>
        <v>-835.1854329245634</v>
      </c>
      <c r="H23" s="104"/>
    </row>
    <row r="24" spans="1:8" ht="16.5" customHeight="1">
      <c r="A24" s="79" t="s">
        <v>69</v>
      </c>
      <c r="B24" s="53">
        <v>200000</v>
      </c>
      <c r="C24" s="39">
        <f t="shared" si="0"/>
        <v>888.8888888888889</v>
      </c>
      <c r="D24" s="11">
        <v>52500</v>
      </c>
      <c r="E24" s="9">
        <f t="shared" si="4"/>
        <v>228.03283672848892</v>
      </c>
      <c r="F24" s="11">
        <f t="shared" si="5"/>
        <v>147500</v>
      </c>
      <c r="G24" s="48">
        <f t="shared" si="5"/>
        <v>660.8560521603999</v>
      </c>
      <c r="H24" s="104"/>
    </row>
    <row r="25" spans="1:8" ht="30" customHeight="1">
      <c r="A25" s="79" t="s">
        <v>67</v>
      </c>
      <c r="B25" s="53">
        <v>1072800</v>
      </c>
      <c r="C25" s="39">
        <f t="shared" si="0"/>
        <v>4768</v>
      </c>
      <c r="D25" s="11">
        <v>99550</v>
      </c>
      <c r="E25" s="9" t="b">
        <f>E24=+D25/230.23</f>
        <v>0</v>
      </c>
      <c r="F25" s="11">
        <f t="shared" si="5"/>
        <v>973250</v>
      </c>
      <c r="G25" s="48">
        <f t="shared" si="5"/>
        <v>4768</v>
      </c>
      <c r="H25" s="104" t="s">
        <v>42</v>
      </c>
    </row>
    <row r="26" spans="1:8" ht="45">
      <c r="A26" s="79" t="s">
        <v>68</v>
      </c>
      <c r="B26" s="53">
        <v>397800</v>
      </c>
      <c r="C26" s="39">
        <f t="shared" si="0"/>
        <v>1768</v>
      </c>
      <c r="D26" s="11">
        <v>1137300</v>
      </c>
      <c r="E26" s="9">
        <f t="shared" si="4"/>
        <v>4939.842765929723</v>
      </c>
      <c r="F26" s="46">
        <f t="shared" si="5"/>
        <v>-739500</v>
      </c>
      <c r="G26" s="103">
        <f t="shared" si="5"/>
        <v>-3171.842765929723</v>
      </c>
      <c r="H26" s="104" t="s">
        <v>43</v>
      </c>
    </row>
    <row r="27" spans="1:8" ht="30">
      <c r="A27" s="80" t="s">
        <v>71</v>
      </c>
      <c r="B27" s="54">
        <v>1750000</v>
      </c>
      <c r="C27" s="40">
        <f t="shared" si="0"/>
        <v>7777.777777777777</v>
      </c>
      <c r="D27" s="11">
        <v>2484784.34</v>
      </c>
      <c r="E27" s="9">
        <f t="shared" si="4"/>
        <v>10792.617556356687</v>
      </c>
      <c r="F27" s="46">
        <f t="shared" si="5"/>
        <v>-734784.3399999999</v>
      </c>
      <c r="G27" s="103">
        <f t="shared" si="5"/>
        <v>-3014.8397785789093</v>
      </c>
      <c r="H27" s="104" t="s">
        <v>44</v>
      </c>
    </row>
    <row r="28" spans="1:8" ht="15.75">
      <c r="A28" s="81" t="s">
        <v>75</v>
      </c>
      <c r="B28" s="109">
        <f aca="true" t="shared" si="6" ref="B28:G28">SUM(B22:B27)</f>
        <v>8820600</v>
      </c>
      <c r="C28" s="110">
        <f t="shared" si="6"/>
        <v>39202.66666666667</v>
      </c>
      <c r="D28" s="110">
        <f t="shared" si="6"/>
        <v>8925838.86</v>
      </c>
      <c r="E28" s="110">
        <f>SUM(E22:E27)</f>
        <v>38336.83212439735</v>
      </c>
      <c r="F28" s="111">
        <f t="shared" si="6"/>
        <v>-105238.85999999987</v>
      </c>
      <c r="G28" s="112">
        <f t="shared" si="6"/>
        <v>865.8345422693237</v>
      </c>
      <c r="H28" s="104"/>
    </row>
    <row r="29" spans="1:8" ht="31.5">
      <c r="A29" s="113" t="s">
        <v>47</v>
      </c>
      <c r="B29" s="114"/>
      <c r="C29" s="115"/>
      <c r="D29" s="116"/>
      <c r="E29" s="116"/>
      <c r="F29" s="116"/>
      <c r="G29" s="117"/>
      <c r="H29" s="104"/>
    </row>
    <row r="30" spans="1:8" ht="31.5">
      <c r="A30" s="133" t="s">
        <v>3</v>
      </c>
      <c r="B30" s="134">
        <v>680000</v>
      </c>
      <c r="C30" s="135">
        <f>SUM(B30/230)</f>
        <v>2956.521739130435</v>
      </c>
      <c r="D30" s="136"/>
      <c r="E30" s="136"/>
      <c r="F30" s="136"/>
      <c r="G30" s="137"/>
      <c r="H30" s="104"/>
    </row>
    <row r="31" spans="1:8" ht="31.5">
      <c r="A31" s="133" t="s">
        <v>45</v>
      </c>
      <c r="B31" s="134">
        <v>250000</v>
      </c>
      <c r="C31" s="135">
        <f aca="true" t="shared" si="7" ref="C31:C36">SUM(B31/230)</f>
        <v>1086.9565217391305</v>
      </c>
      <c r="D31" s="136"/>
      <c r="E31" s="136"/>
      <c r="F31" s="136"/>
      <c r="G31" s="137"/>
      <c r="H31" s="104"/>
    </row>
    <row r="32" spans="1:8" ht="15.75">
      <c r="A32" s="133" t="s">
        <v>46</v>
      </c>
      <c r="B32" s="134">
        <v>240000</v>
      </c>
      <c r="C32" s="135">
        <f t="shared" si="7"/>
        <v>1043.4782608695652</v>
      </c>
      <c r="D32" s="136"/>
      <c r="E32" s="136"/>
      <c r="F32" s="136"/>
      <c r="G32" s="137"/>
      <c r="H32" s="104"/>
    </row>
    <row r="33" spans="1:8" ht="15.75">
      <c r="A33" s="113" t="s">
        <v>4</v>
      </c>
      <c r="B33" s="114">
        <f>SUM(B30:B32)</f>
        <v>1170000</v>
      </c>
      <c r="C33" s="115">
        <f>SUM(C30:C32)</f>
        <v>5086.956521739131</v>
      </c>
      <c r="D33" s="116"/>
      <c r="E33" s="116"/>
      <c r="F33" s="116"/>
      <c r="G33" s="117"/>
      <c r="H33" s="104"/>
    </row>
    <row r="34" spans="1:8" ht="31.5">
      <c r="A34" s="113" t="s">
        <v>5</v>
      </c>
      <c r="B34" s="134"/>
      <c r="C34" s="135"/>
      <c r="D34" s="136"/>
      <c r="E34" s="136"/>
      <c r="F34" s="136"/>
      <c r="G34" s="137"/>
      <c r="H34" s="104"/>
    </row>
    <row r="35" spans="1:8" ht="157.5">
      <c r="A35" s="133" t="s">
        <v>55</v>
      </c>
      <c r="B35" s="134">
        <v>3953845</v>
      </c>
      <c r="C35" s="135">
        <f t="shared" si="7"/>
        <v>17190.630434782608</v>
      </c>
      <c r="D35" s="136"/>
      <c r="E35" s="136"/>
      <c r="F35" s="136"/>
      <c r="G35" s="137"/>
      <c r="H35" s="104"/>
    </row>
    <row r="36" spans="1:8" ht="47.25">
      <c r="A36" s="133" t="s">
        <v>7</v>
      </c>
      <c r="B36" s="134">
        <v>1150000</v>
      </c>
      <c r="C36" s="135">
        <f t="shared" si="7"/>
        <v>5000</v>
      </c>
      <c r="D36" s="136"/>
      <c r="E36" s="136"/>
      <c r="F36" s="136"/>
      <c r="G36" s="137"/>
      <c r="H36" s="104"/>
    </row>
    <row r="37" spans="1:8" ht="15.75">
      <c r="A37" s="113" t="s">
        <v>6</v>
      </c>
      <c r="B37" s="114">
        <f>SUM(B35:B36)</f>
        <v>5103845</v>
      </c>
      <c r="C37" s="115">
        <f>SUM(C35:C36)</f>
        <v>22190.630434782608</v>
      </c>
      <c r="D37" s="136"/>
      <c r="E37" s="136"/>
      <c r="F37" s="136"/>
      <c r="G37" s="137"/>
      <c r="H37" s="104"/>
    </row>
    <row r="38" spans="1:8" s="7" customFormat="1" ht="15.75">
      <c r="A38" s="100" t="s">
        <v>14</v>
      </c>
      <c r="B38" s="57"/>
      <c r="C38" s="38"/>
      <c r="D38" s="14"/>
      <c r="E38" s="14"/>
      <c r="F38" s="14"/>
      <c r="G38" s="50"/>
      <c r="H38" s="108"/>
    </row>
    <row r="39" spans="1:8" s="7" customFormat="1" ht="15.75">
      <c r="A39" s="84" t="s">
        <v>77</v>
      </c>
      <c r="B39" s="53">
        <v>26000</v>
      </c>
      <c r="C39" s="39">
        <f t="shared" si="0"/>
        <v>115.55555555555556</v>
      </c>
      <c r="D39" s="14"/>
      <c r="E39" s="9"/>
      <c r="F39" s="11">
        <f aca="true" t="shared" si="8" ref="F39:G43">+B39-D39</f>
        <v>26000</v>
      </c>
      <c r="G39" s="48">
        <f t="shared" si="8"/>
        <v>115.55555555555556</v>
      </c>
      <c r="H39" s="108"/>
    </row>
    <row r="40" spans="1:8" s="7" customFormat="1" ht="15.75">
      <c r="A40" s="84" t="s">
        <v>8</v>
      </c>
      <c r="B40" s="53">
        <v>397800</v>
      </c>
      <c r="C40" s="39">
        <f>SUM(B40/225)</f>
        <v>1768</v>
      </c>
      <c r="D40" s="14"/>
      <c r="E40" s="9">
        <f>+D40/230.23</f>
        <v>0</v>
      </c>
      <c r="F40" s="11">
        <f t="shared" si="8"/>
        <v>397800</v>
      </c>
      <c r="G40" s="48">
        <f t="shared" si="8"/>
        <v>1768</v>
      </c>
      <c r="H40" s="108"/>
    </row>
    <row r="41" spans="1:8" s="7" customFormat="1" ht="15.75">
      <c r="A41" s="84" t="s">
        <v>16</v>
      </c>
      <c r="B41" s="53">
        <v>795600</v>
      </c>
      <c r="C41" s="39">
        <f t="shared" si="0"/>
        <v>3536</v>
      </c>
      <c r="D41" s="14"/>
      <c r="E41" s="9">
        <f>+D41/230.23</f>
        <v>0</v>
      </c>
      <c r="F41" s="11">
        <f t="shared" si="8"/>
        <v>795600</v>
      </c>
      <c r="G41" s="48">
        <f t="shared" si="8"/>
        <v>3536</v>
      </c>
      <c r="H41" s="108"/>
    </row>
    <row r="42" spans="1:8" s="7" customFormat="1" ht="15.75">
      <c r="A42" s="84" t="s">
        <v>61</v>
      </c>
      <c r="B42" s="53">
        <v>60000</v>
      </c>
      <c r="C42" s="39">
        <f t="shared" si="0"/>
        <v>266.6666666666667</v>
      </c>
      <c r="D42" s="14"/>
      <c r="E42" s="9"/>
      <c r="F42" s="11">
        <f t="shared" si="8"/>
        <v>60000</v>
      </c>
      <c r="G42" s="48">
        <f t="shared" si="8"/>
        <v>266.6666666666667</v>
      </c>
      <c r="H42" s="108"/>
    </row>
    <row r="43" spans="1:8" s="7" customFormat="1" ht="19.5" customHeight="1">
      <c r="A43" s="85" t="s">
        <v>9</v>
      </c>
      <c r="B43" s="54">
        <v>200000</v>
      </c>
      <c r="C43" s="40">
        <f t="shared" si="0"/>
        <v>888.8888888888889</v>
      </c>
      <c r="D43" s="14"/>
      <c r="E43" s="9">
        <f>+D43/230.23</f>
        <v>0</v>
      </c>
      <c r="F43" s="11">
        <f t="shared" si="8"/>
        <v>200000</v>
      </c>
      <c r="G43" s="48">
        <f t="shared" si="8"/>
        <v>888.8888888888889</v>
      </c>
      <c r="H43" s="108"/>
    </row>
    <row r="44" spans="1:8" s="7" customFormat="1" ht="15.75">
      <c r="A44" s="86" t="s">
        <v>75</v>
      </c>
      <c r="B44" s="55">
        <f aca="true" t="shared" si="9" ref="B44:G44">SUM(B39:B43)</f>
        <v>1479400</v>
      </c>
      <c r="C44" s="58">
        <f t="shared" si="9"/>
        <v>6575.111111111111</v>
      </c>
      <c r="D44" s="58">
        <f t="shared" si="9"/>
        <v>0</v>
      </c>
      <c r="E44" s="58">
        <f t="shared" si="9"/>
        <v>0</v>
      </c>
      <c r="F44" s="59">
        <f t="shared" si="9"/>
        <v>1479400</v>
      </c>
      <c r="G44" s="60">
        <f t="shared" si="9"/>
        <v>6575.111111111111</v>
      </c>
      <c r="H44" s="108"/>
    </row>
    <row r="45" spans="1:8" s="7" customFormat="1" ht="15.75">
      <c r="A45" s="100" t="s">
        <v>15</v>
      </c>
      <c r="B45" s="57"/>
      <c r="C45" s="38"/>
      <c r="D45" s="14"/>
      <c r="E45" s="14"/>
      <c r="F45" s="14"/>
      <c r="G45" s="50"/>
      <c r="H45" s="108"/>
    </row>
    <row r="46" spans="1:8" s="7" customFormat="1" ht="15.75">
      <c r="A46" s="84" t="s">
        <v>77</v>
      </c>
      <c r="B46" s="53">
        <v>26000</v>
      </c>
      <c r="C46" s="39">
        <f>SUM(B46/225)</f>
        <v>115.55555555555556</v>
      </c>
      <c r="D46" s="14">
        <v>1250</v>
      </c>
      <c r="E46" s="9">
        <f>+D46/230.23</f>
        <v>5.429353255440212</v>
      </c>
      <c r="F46" s="11">
        <f aca="true" t="shared" si="10" ref="F46:G50">+B46-D46</f>
        <v>24750</v>
      </c>
      <c r="G46" s="48">
        <f t="shared" si="10"/>
        <v>110.12620230011535</v>
      </c>
      <c r="H46" s="108"/>
    </row>
    <row r="47" spans="1:8" s="7" customFormat="1" ht="15.75">
      <c r="A47" s="84" t="s">
        <v>8</v>
      </c>
      <c r="B47" s="53">
        <v>397800</v>
      </c>
      <c r="C47" s="39">
        <f t="shared" si="0"/>
        <v>1768</v>
      </c>
      <c r="D47" s="14"/>
      <c r="E47" s="9">
        <f>+D47/230.23</f>
        <v>0</v>
      </c>
      <c r="F47" s="11">
        <f t="shared" si="10"/>
        <v>397800</v>
      </c>
      <c r="G47" s="48">
        <f t="shared" si="10"/>
        <v>1768</v>
      </c>
      <c r="H47" s="108"/>
    </row>
    <row r="48" spans="1:8" s="7" customFormat="1" ht="15.75">
      <c r="A48" s="84" t="s">
        <v>16</v>
      </c>
      <c r="B48" s="53">
        <v>795600</v>
      </c>
      <c r="C48" s="39">
        <f t="shared" si="0"/>
        <v>3536</v>
      </c>
      <c r="D48" s="14"/>
      <c r="E48" s="9">
        <f>+D48/230.23</f>
        <v>0</v>
      </c>
      <c r="F48" s="11">
        <f t="shared" si="10"/>
        <v>795600</v>
      </c>
      <c r="G48" s="48">
        <f t="shared" si="10"/>
        <v>3536</v>
      </c>
      <c r="H48" s="108"/>
    </row>
    <row r="49" spans="1:8" s="7" customFormat="1" ht="15.75">
      <c r="A49" s="84" t="s">
        <v>61</v>
      </c>
      <c r="B49" s="53">
        <v>60000</v>
      </c>
      <c r="C49" s="39">
        <f t="shared" si="0"/>
        <v>266.6666666666667</v>
      </c>
      <c r="D49" s="14"/>
      <c r="E49" s="9">
        <f>+D49/230.23</f>
        <v>0</v>
      </c>
      <c r="F49" s="11">
        <f t="shared" si="10"/>
        <v>60000</v>
      </c>
      <c r="G49" s="48">
        <f t="shared" si="10"/>
        <v>266.6666666666667</v>
      </c>
      <c r="H49" s="108"/>
    </row>
    <row r="50" spans="1:8" s="7" customFormat="1" ht="19.5" customHeight="1">
      <c r="A50" s="85" t="s">
        <v>9</v>
      </c>
      <c r="B50" s="54">
        <v>200000</v>
      </c>
      <c r="C50" s="40">
        <f t="shared" si="0"/>
        <v>888.8888888888889</v>
      </c>
      <c r="D50" s="14"/>
      <c r="E50" s="9">
        <f>+D50/230.23</f>
        <v>0</v>
      </c>
      <c r="F50" s="11">
        <f t="shared" si="10"/>
        <v>200000</v>
      </c>
      <c r="G50" s="48">
        <f t="shared" si="10"/>
        <v>888.8888888888889</v>
      </c>
      <c r="H50" s="108"/>
    </row>
    <row r="51" spans="1:8" s="7" customFormat="1" ht="15.75">
      <c r="A51" s="86" t="s">
        <v>75</v>
      </c>
      <c r="B51" s="55">
        <f aca="true" t="shared" si="11" ref="B51:G51">SUM(B46:B50)</f>
        <v>1479400</v>
      </c>
      <c r="C51" s="58">
        <f>SUM(C46:C50)</f>
        <v>6575.111111111111</v>
      </c>
      <c r="D51" s="58">
        <f t="shared" si="11"/>
        <v>1250</v>
      </c>
      <c r="E51" s="58">
        <f t="shared" si="11"/>
        <v>5.429353255440212</v>
      </c>
      <c r="F51" s="59">
        <f t="shared" si="11"/>
        <v>1478150</v>
      </c>
      <c r="G51" s="60">
        <f t="shared" si="11"/>
        <v>6569.681757855671</v>
      </c>
      <c r="H51" s="108"/>
    </row>
    <row r="52" spans="1:8" s="7" customFormat="1" ht="15.75">
      <c r="A52" s="100" t="s">
        <v>11</v>
      </c>
      <c r="B52" s="57"/>
      <c r="C52" s="38"/>
      <c r="D52" s="14"/>
      <c r="E52" s="14"/>
      <c r="F52" s="14"/>
      <c r="G52" s="50"/>
      <c r="H52" s="108"/>
    </row>
    <row r="53" spans="1:8" s="7" customFormat="1" ht="15.75">
      <c r="A53" s="84" t="s">
        <v>77</v>
      </c>
      <c r="B53" s="53">
        <v>50000</v>
      </c>
      <c r="C53" s="39">
        <f>SUM(B53/225)</f>
        <v>222.22222222222223</v>
      </c>
      <c r="D53" s="14"/>
      <c r="E53" s="9">
        <f>+D53/230.23</f>
        <v>0</v>
      </c>
      <c r="F53" s="11">
        <f aca="true" t="shared" si="12" ref="F53:G56">+B53-D53</f>
        <v>50000</v>
      </c>
      <c r="G53" s="48">
        <f t="shared" si="12"/>
        <v>222.22222222222223</v>
      </c>
      <c r="H53" s="108"/>
    </row>
    <row r="54" spans="1:8" s="7" customFormat="1" ht="31.5">
      <c r="A54" s="84" t="s">
        <v>13</v>
      </c>
      <c r="B54" s="53">
        <v>1591200</v>
      </c>
      <c r="C54" s="39">
        <f t="shared" si="0"/>
        <v>7072</v>
      </c>
      <c r="D54" s="14"/>
      <c r="E54" s="9">
        <f>+D54/230.23</f>
        <v>0</v>
      </c>
      <c r="F54" s="11">
        <f t="shared" si="12"/>
        <v>1591200</v>
      </c>
      <c r="G54" s="48">
        <f t="shared" si="12"/>
        <v>7072</v>
      </c>
      <c r="H54" s="108"/>
    </row>
    <row r="55" spans="1:8" s="7" customFormat="1" ht="15.75">
      <c r="A55" s="84" t="s">
        <v>61</v>
      </c>
      <c r="B55" s="53">
        <v>120000</v>
      </c>
      <c r="C55" s="39">
        <f t="shared" si="0"/>
        <v>533.3333333333334</v>
      </c>
      <c r="D55" s="14"/>
      <c r="E55" s="9">
        <f>+D55/230.23</f>
        <v>0</v>
      </c>
      <c r="F55" s="11">
        <f t="shared" si="12"/>
        <v>120000</v>
      </c>
      <c r="G55" s="48">
        <f t="shared" si="12"/>
        <v>533.3333333333334</v>
      </c>
      <c r="H55" s="108"/>
    </row>
    <row r="56" spans="1:8" s="7" customFormat="1" ht="19.5" customHeight="1">
      <c r="A56" s="85" t="s">
        <v>9</v>
      </c>
      <c r="B56" s="54">
        <v>1961200</v>
      </c>
      <c r="C56" s="40">
        <f t="shared" si="0"/>
        <v>8716.444444444445</v>
      </c>
      <c r="D56" s="14"/>
      <c r="E56" s="9">
        <f>+D56/230.23</f>
        <v>0</v>
      </c>
      <c r="F56" s="11">
        <f t="shared" si="12"/>
        <v>1961200</v>
      </c>
      <c r="G56" s="48">
        <f t="shared" si="12"/>
        <v>8716.444444444445</v>
      </c>
      <c r="H56" s="108"/>
    </row>
    <row r="57" spans="1:8" s="7" customFormat="1" ht="15.75">
      <c r="A57" s="86" t="s">
        <v>75</v>
      </c>
      <c r="B57" s="5">
        <f aca="true" t="shared" si="13" ref="B57:G57">SUM(B53:B56)</f>
        <v>3722400</v>
      </c>
      <c r="C57" s="58">
        <f t="shared" si="13"/>
        <v>16544</v>
      </c>
      <c r="D57" s="58">
        <f t="shared" si="13"/>
        <v>0</v>
      </c>
      <c r="E57" s="58">
        <f t="shared" si="13"/>
        <v>0</v>
      </c>
      <c r="F57" s="59">
        <f t="shared" si="13"/>
        <v>3722400</v>
      </c>
      <c r="G57" s="60">
        <f t="shared" si="13"/>
        <v>16544</v>
      </c>
      <c r="H57" s="108"/>
    </row>
    <row r="58" spans="1:7" s="7" customFormat="1" ht="15.75">
      <c r="A58" s="87"/>
      <c r="B58" s="42"/>
      <c r="C58" s="8"/>
      <c r="D58" s="14"/>
      <c r="E58" s="14"/>
      <c r="F58" s="10"/>
      <c r="G58" s="47"/>
    </row>
    <row r="59" spans="1:7" ht="15.75">
      <c r="A59" s="88" t="s">
        <v>36</v>
      </c>
      <c r="B59" s="118">
        <f aca="true" t="shared" si="14" ref="B59:G59">SUM(B20+B28+B44)</f>
        <v>16856100</v>
      </c>
      <c r="C59" s="118">
        <f>SUM(C20+C28+C44)</f>
        <v>74916</v>
      </c>
      <c r="D59" s="118">
        <f>SUM(D20+D28+D44)</f>
        <v>14611056.93</v>
      </c>
      <c r="E59" s="118">
        <f>SUM(E20+E28)</f>
        <v>63030.47791339096</v>
      </c>
      <c r="F59" s="118">
        <f t="shared" si="14"/>
        <v>2245043.0700000003</v>
      </c>
      <c r="G59" s="119">
        <f t="shared" si="14"/>
        <v>11885.522086609042</v>
      </c>
    </row>
    <row r="60" spans="1:7" ht="15">
      <c r="A60" s="89"/>
      <c r="B60" s="118">
        <f>B59/225</f>
        <v>74916</v>
      </c>
      <c r="C60" s="120"/>
      <c r="D60" s="121"/>
      <c r="E60" s="121"/>
      <c r="F60" s="122"/>
      <c r="G60" s="123"/>
    </row>
    <row r="61" spans="1:7" ht="17.25" customHeight="1">
      <c r="A61" s="89"/>
      <c r="B61" s="118">
        <f>B59/230000</f>
        <v>73.28739130434782</v>
      </c>
      <c r="C61" s="120"/>
      <c r="D61" s="121"/>
      <c r="E61" s="121"/>
      <c r="F61" s="122"/>
      <c r="G61" s="123"/>
    </row>
    <row r="62" spans="1:7" ht="16.5" customHeight="1">
      <c r="A62" s="89"/>
      <c r="B62" s="124">
        <f>B61/225</f>
        <v>0.3257217391304348</v>
      </c>
      <c r="C62" s="120"/>
      <c r="D62" s="121"/>
      <c r="E62" s="121"/>
      <c r="F62" s="122"/>
      <c r="G62" s="123"/>
    </row>
    <row r="63" spans="1:7" ht="12.75" customHeight="1">
      <c r="A63" s="89"/>
      <c r="B63" s="118">
        <v>471589</v>
      </c>
      <c r="C63" s="120"/>
      <c r="D63" s="121"/>
      <c r="E63" s="121"/>
      <c r="F63" s="122"/>
      <c r="G63" s="123"/>
    </row>
    <row r="64" spans="1:7" ht="45">
      <c r="A64" s="90"/>
      <c r="B64" s="125" t="s">
        <v>17</v>
      </c>
      <c r="C64" s="126"/>
      <c r="D64" s="121"/>
      <c r="E64" s="121"/>
      <c r="F64" s="122"/>
      <c r="G64" s="123"/>
    </row>
    <row r="65" spans="1:7" ht="15.75">
      <c r="A65" s="91" t="s">
        <v>35</v>
      </c>
      <c r="B65" s="118">
        <f>SUM(B59+B51+B57)</f>
        <v>22057900</v>
      </c>
      <c r="C65" s="118">
        <f>SUM(C59+C51+C57)</f>
        <v>98035.11111111111</v>
      </c>
      <c r="D65" s="177">
        <f>SUM(D59+B51+B57+B44)</f>
        <v>21292256.93</v>
      </c>
      <c r="E65" s="177">
        <f>SUM(E59+C51+C57+C44)</f>
        <v>92724.70013561318</v>
      </c>
      <c r="F65" s="118">
        <f>SUM(F59+F51+F57)</f>
        <v>7445593.07</v>
      </c>
      <c r="G65" s="119">
        <f>SUM(G59+G51+G57)</f>
        <v>34999.20384446471</v>
      </c>
    </row>
    <row r="66" spans="1:7" ht="15">
      <c r="A66" s="89"/>
      <c r="B66" s="118">
        <f>B65/225</f>
        <v>98035.11111111111</v>
      </c>
      <c r="C66" s="120"/>
      <c r="D66" s="121"/>
      <c r="E66" s="121"/>
      <c r="F66" s="127"/>
      <c r="G66" s="123"/>
    </row>
    <row r="67" spans="1:7" ht="17.25" customHeight="1">
      <c r="A67" s="89"/>
      <c r="B67" s="118">
        <f>B65/230000</f>
        <v>95.90391304347825</v>
      </c>
      <c r="C67" s="120"/>
      <c r="D67" s="121"/>
      <c r="E67" s="121"/>
      <c r="F67" s="127"/>
      <c r="G67" s="123"/>
    </row>
    <row r="68" spans="1:7" ht="16.5" customHeight="1" thickBot="1">
      <c r="A68" s="92"/>
      <c r="B68" s="128">
        <f>B67/225</f>
        <v>0.42623961352657</v>
      </c>
      <c r="C68" s="129"/>
      <c r="D68" s="130"/>
      <c r="E68" s="130"/>
      <c r="F68" s="131"/>
      <c r="G68" s="132"/>
    </row>
    <row r="69" spans="1:3" ht="15.75" thickTop="1">
      <c r="A69" s="1"/>
      <c r="B69" s="1"/>
      <c r="C69" s="1"/>
    </row>
    <row r="72" ht="15">
      <c r="E72" s="176"/>
    </row>
    <row r="82" ht="15">
      <c r="G82" s="141" t="s">
        <v>33</v>
      </c>
    </row>
  </sheetData>
  <sheetProtection/>
  <mergeCells count="1">
    <mergeCell ref="D5:E5"/>
  </mergeCells>
  <printOptions/>
  <pageMargins left="0.24" right="0.24" top="0.45" bottom="0.4" header="0.31496062992126" footer="0.31496062992126"/>
  <pageSetup fitToHeight="1" fitToWidth="1" horizontalDpi="300" verticalDpi="300" orientation="portrait" paperSize="9" scale="57"/>
  <ignoredErrors>
    <ignoredError sqref="B61" formula="1"/>
  </ignoredErrors>
</worksheet>
</file>

<file path=xl/worksheets/sheet2.xml><?xml version="1.0" encoding="utf-8"?>
<worksheet xmlns="http://schemas.openxmlformats.org/spreadsheetml/2006/main" xmlns:r="http://schemas.openxmlformats.org/officeDocument/2006/relationships">
  <dimension ref="A2:D20"/>
  <sheetViews>
    <sheetView zoomScalePageLayoutView="0" workbookViewId="0" topLeftCell="A1">
      <selection activeCell="B17" sqref="B17"/>
    </sheetView>
  </sheetViews>
  <sheetFormatPr defaultColWidth="8.8515625" defaultRowHeight="15"/>
  <cols>
    <col min="1" max="1" width="34.421875" style="0" customWidth="1"/>
    <col min="2" max="2" width="12.8515625" style="0" bestFit="1" customWidth="1"/>
    <col min="3" max="3" width="9.28125" style="0" bestFit="1" customWidth="1"/>
    <col min="4" max="4" width="9.8515625" style="0" bestFit="1" customWidth="1"/>
  </cols>
  <sheetData>
    <row r="1" ht="15.75" thickBot="1"/>
    <row r="2" spans="1:4" ht="15">
      <c r="A2" s="15" t="s">
        <v>19</v>
      </c>
      <c r="B2" s="16" t="s">
        <v>20</v>
      </c>
      <c r="C2" s="16" t="s">
        <v>21</v>
      </c>
      <c r="D2" s="17" t="s">
        <v>22</v>
      </c>
    </row>
    <row r="3" spans="1:4" ht="15">
      <c r="A3" s="18" t="s">
        <v>24</v>
      </c>
      <c r="B3" s="22">
        <v>17248247.8</v>
      </c>
      <c r="C3" s="22">
        <f>ROUND(B3/D3,4)</f>
        <v>230.2345</v>
      </c>
      <c r="D3" s="23">
        <v>74916</v>
      </c>
    </row>
    <row r="4" spans="1:4" ht="15">
      <c r="A4" s="18" t="s">
        <v>25</v>
      </c>
      <c r="B4" s="24">
        <f>SUM('Data from Concern Universal'!D59)</f>
        <v>14611056.93</v>
      </c>
      <c r="C4" s="24">
        <v>230.23</v>
      </c>
      <c r="D4" s="25">
        <f>+B4/C4</f>
        <v>63462.87160665422</v>
      </c>
    </row>
    <row r="5" spans="1:4" ht="15">
      <c r="A5" s="18" t="s">
        <v>23</v>
      </c>
      <c r="B5" s="22">
        <f>SUM(B3-B4)</f>
        <v>2637190.870000001</v>
      </c>
      <c r="C5" s="26">
        <f>ROUND(B5/D5,4)</f>
        <v>230.2594</v>
      </c>
      <c r="D5" s="22">
        <f>SUM(D3-D4)</f>
        <v>11453.128393345782</v>
      </c>
    </row>
    <row r="9" ht="15.75" thickBot="1"/>
    <row r="10" spans="1:4" ht="15">
      <c r="A10" s="61" t="s">
        <v>93</v>
      </c>
      <c r="B10" s="62"/>
      <c r="C10" s="63"/>
      <c r="D10" s="64"/>
    </row>
    <row r="11" spans="1:4" ht="15">
      <c r="A11" s="65" t="s">
        <v>90</v>
      </c>
      <c r="B11" s="19"/>
      <c r="C11" s="20"/>
      <c r="D11" s="66"/>
    </row>
    <row r="12" spans="1:4" ht="15">
      <c r="A12" s="67" t="s">
        <v>94</v>
      </c>
      <c r="B12" s="19">
        <f>+B4</f>
        <v>14611056.93</v>
      </c>
      <c r="C12" s="20">
        <v>230.23</v>
      </c>
      <c r="D12" s="66">
        <f>+B12/C12</f>
        <v>63462.87160665422</v>
      </c>
    </row>
    <row r="13" spans="1:4" ht="15">
      <c r="A13" s="65" t="s">
        <v>91</v>
      </c>
      <c r="B13" s="68">
        <f>SUM(B12:B12)</f>
        <v>14611056.93</v>
      </c>
      <c r="C13" s="21"/>
      <c r="D13" s="69">
        <f>SUM(D12:D12)</f>
        <v>63462.87160665422</v>
      </c>
    </row>
    <row r="14" spans="1:4" ht="15">
      <c r="A14" s="70" t="s">
        <v>30</v>
      </c>
      <c r="B14" s="71"/>
      <c r="C14" s="72"/>
      <c r="D14" s="73">
        <f>SUM(D13:D13)</f>
        <v>63462.87160665422</v>
      </c>
    </row>
    <row r="15" spans="1:4" ht="15">
      <c r="A15" s="65" t="s">
        <v>95</v>
      </c>
      <c r="B15" s="19"/>
      <c r="C15" s="20"/>
      <c r="D15" s="66"/>
    </row>
    <row r="16" spans="1:4" ht="15">
      <c r="A16" s="67" t="s">
        <v>94</v>
      </c>
      <c r="B16" s="68">
        <f>+B12</f>
        <v>14611056.93</v>
      </c>
      <c r="C16" s="20">
        <v>225</v>
      </c>
      <c r="D16" s="66">
        <f>ROUND(B16/C16,2)</f>
        <v>64938.03</v>
      </c>
    </row>
    <row r="17" spans="1:4" ht="15">
      <c r="A17" s="70" t="s">
        <v>30</v>
      </c>
      <c r="B17" s="71"/>
      <c r="C17" s="72"/>
      <c r="D17" s="73">
        <f>SUM(D16:D16)</f>
        <v>64938.03</v>
      </c>
    </row>
    <row r="18" spans="1:4" ht="15.75" thickBot="1">
      <c r="A18" s="74" t="s">
        <v>92</v>
      </c>
      <c r="B18" s="75"/>
      <c r="C18" s="76"/>
      <c r="D18" s="77">
        <f>D17-D14</f>
        <v>1475.1583933457805</v>
      </c>
    </row>
    <row r="20" ht="15">
      <c r="B20" s="78"/>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C20" sqref="C20"/>
    </sheetView>
  </sheetViews>
  <sheetFormatPr defaultColWidth="11.421875" defaultRowHeight="15"/>
  <cols>
    <col min="1" max="1" width="60.7109375" style="0" customWidth="1"/>
    <col min="2" max="2" width="26.00390625" style="0" customWidth="1"/>
    <col min="3" max="3" width="25.28125" style="0" customWidth="1"/>
    <col min="4" max="4" width="27.140625" style="0" customWidth="1"/>
    <col min="5" max="5" width="37.8515625" style="0" customWidth="1"/>
  </cols>
  <sheetData>
    <row r="1" spans="1:5" ht="15">
      <c r="A1" s="154"/>
      <c r="C1" s="1"/>
      <c r="D1" s="157" t="s">
        <v>109</v>
      </c>
      <c r="E1" s="172" t="s">
        <v>110</v>
      </c>
    </row>
    <row r="2" spans="4:5" ht="15">
      <c r="D2" s="140" t="s">
        <v>33</v>
      </c>
      <c r="E2" s="159"/>
    </row>
    <row r="3" spans="1:5" ht="15">
      <c r="A3" s="155" t="s">
        <v>56</v>
      </c>
      <c r="B3" s="138"/>
      <c r="E3" s="173" t="s">
        <v>33</v>
      </c>
    </row>
    <row r="4" spans="1:5" ht="15">
      <c r="A4" t="s">
        <v>85</v>
      </c>
      <c r="B4" s="138">
        <v>16574</v>
      </c>
      <c r="D4" t="s">
        <v>78</v>
      </c>
      <c r="E4" s="173" t="s">
        <v>33</v>
      </c>
    </row>
    <row r="5" spans="1:5" ht="15">
      <c r="A5" t="s">
        <v>108</v>
      </c>
      <c r="B5" s="138">
        <v>268294</v>
      </c>
      <c r="D5" t="s">
        <v>86</v>
      </c>
      <c r="E5" s="173" t="s">
        <v>33</v>
      </c>
    </row>
    <row r="6" ht="15">
      <c r="E6" s="159"/>
    </row>
    <row r="7" spans="1:5" ht="15">
      <c r="A7" s="158" t="s">
        <v>119</v>
      </c>
      <c r="B7" s="141" t="s">
        <v>33</v>
      </c>
      <c r="E7" s="159"/>
    </row>
    <row r="8" spans="1:5" ht="15">
      <c r="A8" s="160" t="s">
        <v>107</v>
      </c>
      <c r="B8" s="165">
        <v>4483</v>
      </c>
      <c r="D8" t="s">
        <v>49</v>
      </c>
      <c r="E8" s="173" t="s">
        <v>33</v>
      </c>
    </row>
    <row r="9" spans="1:6" ht="15">
      <c r="A9" s="156" t="s">
        <v>82</v>
      </c>
      <c r="B9" s="165">
        <f>(350000+80000)/(230.23*'FX rates'!B5)</f>
        <v>2453.622595732308</v>
      </c>
      <c r="D9" t="s">
        <v>78</v>
      </c>
      <c r="E9" s="159" t="s">
        <v>130</v>
      </c>
      <c r="F9" s="141" t="s">
        <v>33</v>
      </c>
    </row>
    <row r="10" spans="1:5" ht="15">
      <c r="A10" s="156" t="s">
        <v>81</v>
      </c>
      <c r="B10" s="165">
        <v>0</v>
      </c>
      <c r="D10" s="159" t="s">
        <v>48</v>
      </c>
      <c r="E10" s="173" t="s">
        <v>33</v>
      </c>
    </row>
    <row r="11" spans="5:6" ht="15">
      <c r="E11" s="159"/>
      <c r="F11" s="141" t="s">
        <v>33</v>
      </c>
    </row>
    <row r="12" spans="1:5" ht="15">
      <c r="A12" s="175"/>
      <c r="E12" s="159"/>
    </row>
    <row r="13" spans="2:5" ht="57.75">
      <c r="B13" s="174" t="s">
        <v>0</v>
      </c>
      <c r="C13" s="174" t="s">
        <v>34</v>
      </c>
      <c r="D13" s="162" t="s">
        <v>33</v>
      </c>
      <c r="E13" s="159"/>
    </row>
    <row r="14" spans="1:5" ht="15">
      <c r="A14" s="1"/>
      <c r="B14" s="1"/>
      <c r="C14" s="1"/>
      <c r="E14" s="159"/>
    </row>
    <row r="15" spans="1:5" ht="15">
      <c r="A15" s="1" t="s">
        <v>80</v>
      </c>
      <c r="B15" s="165">
        <v>71039</v>
      </c>
      <c r="C15" s="165">
        <f>B15+B8</f>
        <v>75522</v>
      </c>
      <c r="D15" t="s">
        <v>51</v>
      </c>
      <c r="E15" s="173" t="s">
        <v>33</v>
      </c>
    </row>
    <row r="16" spans="1:5" ht="15">
      <c r="A16" s="164" t="s">
        <v>87</v>
      </c>
      <c r="B16" s="165">
        <f>'Data from Concern Universal'!D65/'FX rates'!C5</f>
        <v>129929.0739949718</v>
      </c>
      <c r="C16" s="165">
        <f>B16+B9</f>
        <v>132382.69659070412</v>
      </c>
      <c r="D16" s="167" t="s">
        <v>1</v>
      </c>
      <c r="E16" s="156"/>
    </row>
    <row r="17" spans="1:5" ht="15">
      <c r="A17" s="1" t="s">
        <v>120</v>
      </c>
      <c r="B17" s="165">
        <f>'Data from Concern Universal'!B37/'FX rates'!$C$5</f>
        <v>31144.554419195</v>
      </c>
      <c r="C17" s="165">
        <f>B17</f>
        <v>31144.554419195</v>
      </c>
      <c r="D17" s="163" t="s">
        <v>2</v>
      </c>
      <c r="E17" s="159"/>
    </row>
    <row r="18" spans="1:5" ht="15">
      <c r="A18" s="1" t="s">
        <v>79</v>
      </c>
      <c r="B18" s="165">
        <f>'Data from Concern Universal'!B33/'FX rates'!$C$5</f>
        <v>7139.5445336718</v>
      </c>
      <c r="C18" s="165">
        <f>B18</f>
        <v>7139.5445336718</v>
      </c>
      <c r="D18" s="163" t="s">
        <v>2</v>
      </c>
      <c r="E18" s="159"/>
    </row>
    <row r="19" spans="1:5" ht="15">
      <c r="A19" s="142" t="s">
        <v>112</v>
      </c>
      <c r="B19" s="165">
        <f>SUM(B15:B18)</f>
        <v>239252.1729478386</v>
      </c>
      <c r="C19" s="165">
        <f>SUM(C15:C18)</f>
        <v>246188.79554357092</v>
      </c>
      <c r="D19" s="152"/>
      <c r="E19" s="159"/>
    </row>
    <row r="20" spans="1:5" ht="15">
      <c r="A20" s="139" t="s">
        <v>111</v>
      </c>
      <c r="B20" s="165"/>
      <c r="C20" s="165">
        <f>C19/B5</f>
        <v>0.917608278767214</v>
      </c>
      <c r="D20" s="153"/>
      <c r="E20" s="159"/>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J16"/>
  <sheetViews>
    <sheetView zoomScalePageLayoutView="0" workbookViewId="0" topLeftCell="A1">
      <selection activeCell="A16" sqref="A16"/>
    </sheetView>
  </sheetViews>
  <sheetFormatPr defaultColWidth="19.421875" defaultRowHeight="15"/>
  <cols>
    <col min="1" max="1" width="51.8515625" style="2" customWidth="1"/>
    <col min="2" max="2" width="17.8515625" style="2" customWidth="1"/>
    <col min="3" max="3" width="18.00390625" style="2" customWidth="1"/>
    <col min="4" max="4" width="15.421875" style="2" customWidth="1"/>
    <col min="5" max="5" width="17.00390625" style="2" customWidth="1"/>
    <col min="6" max="16384" width="19.421875" style="2" customWidth="1"/>
  </cols>
  <sheetData>
    <row r="1" spans="1:9" ht="15">
      <c r="A1" s="161"/>
      <c r="B1" s="180" t="s">
        <v>123</v>
      </c>
      <c r="C1" s="180"/>
      <c r="D1" s="180" t="s">
        <v>122</v>
      </c>
      <c r="E1" s="180"/>
      <c r="F1" s="180" t="s">
        <v>124</v>
      </c>
      <c r="G1" s="181"/>
      <c r="H1" s="168" t="s">
        <v>109</v>
      </c>
      <c r="I1" s="168" t="s">
        <v>106</v>
      </c>
    </row>
    <row r="2" spans="1:8" ht="15">
      <c r="A2" s="164" t="s">
        <v>103</v>
      </c>
      <c r="B2" s="2" t="s">
        <v>66</v>
      </c>
      <c r="C2" s="2" t="s">
        <v>113</v>
      </c>
      <c r="D2" s="2" t="s">
        <v>66</v>
      </c>
      <c r="E2" s="2" t="s">
        <v>113</v>
      </c>
      <c r="F2" s="2" t="s">
        <v>115</v>
      </c>
      <c r="G2" s="2" t="s">
        <v>114</v>
      </c>
      <c r="H2" s="140" t="s">
        <v>33</v>
      </c>
    </row>
    <row r="3" spans="1:10" ht="15">
      <c r="A3" s="164" t="s">
        <v>50</v>
      </c>
      <c r="B3" s="146">
        <v>45000</v>
      </c>
      <c r="C3" s="149">
        <f>B3/B$8</f>
        <v>0.18</v>
      </c>
      <c r="D3" s="149">
        <f>'GiveWell calculations'!C15</f>
        <v>75522</v>
      </c>
      <c r="E3" s="149">
        <f>D3/D$8</f>
        <v>0.28148970905051923</v>
      </c>
      <c r="F3" s="147">
        <f aca="true" t="shared" si="0" ref="F3:G5">D3-B3</f>
        <v>30522</v>
      </c>
      <c r="G3" s="149">
        <f t="shared" si="0"/>
        <v>0.10148970905051924</v>
      </c>
      <c r="H3" s="2" t="s">
        <v>126</v>
      </c>
      <c r="I3" s="170" t="s">
        <v>125</v>
      </c>
      <c r="J3" s="140" t="s">
        <v>33</v>
      </c>
    </row>
    <row r="4" spans="1:10" ht="15">
      <c r="A4" s="164" t="s">
        <v>88</v>
      </c>
      <c r="B4" s="146">
        <f>B9-B3</f>
        <v>125000</v>
      </c>
      <c r="C4" s="149">
        <f>B4/B$8</f>
        <v>0.5</v>
      </c>
      <c r="D4" s="149">
        <f>'GiveWell calculations'!C16</f>
        <v>132382.69659070412</v>
      </c>
      <c r="E4" s="149">
        <f>D4/D$8</f>
        <v>0.49342399230211675</v>
      </c>
      <c r="F4" s="147">
        <f t="shared" si="0"/>
        <v>7382.696590704116</v>
      </c>
      <c r="G4" s="149">
        <f t="shared" si="0"/>
        <v>-0.006576007697883246</v>
      </c>
      <c r="H4" s="2" t="s">
        <v>126</v>
      </c>
      <c r="I4" s="171" t="s">
        <v>121</v>
      </c>
      <c r="J4" s="140" t="s">
        <v>33</v>
      </c>
    </row>
    <row r="5" spans="1:10" ht="15">
      <c r="A5" s="164" t="s">
        <v>83</v>
      </c>
      <c r="B5" s="146">
        <v>0</v>
      </c>
      <c r="C5" s="149">
        <f>B5/B$8</f>
        <v>0</v>
      </c>
      <c r="D5" s="149">
        <f>'GiveWell calculations'!C18</f>
        <v>7139.5445336718</v>
      </c>
      <c r="E5" s="149">
        <f>D5/D$8</f>
        <v>0.026610898990181667</v>
      </c>
      <c r="F5" s="147">
        <f t="shared" si="0"/>
        <v>7139.5445336718</v>
      </c>
      <c r="G5" s="149">
        <f t="shared" si="0"/>
        <v>0.026610898990181667</v>
      </c>
      <c r="H5" s="2" t="s">
        <v>127</v>
      </c>
      <c r="I5" s="170" t="s">
        <v>89</v>
      </c>
      <c r="J5" s="140" t="s">
        <v>33</v>
      </c>
    </row>
    <row r="6" spans="1:10" ht="15">
      <c r="A6" s="164" t="s">
        <v>84</v>
      </c>
      <c r="B6" s="146">
        <v>0</v>
      </c>
      <c r="C6" s="149">
        <f>B6/B$8</f>
        <v>0</v>
      </c>
      <c r="D6" s="149">
        <f>'GiveWell calculations'!C17</f>
        <v>31144.554419195</v>
      </c>
      <c r="E6" s="149">
        <f>D6/D8</f>
        <v>0.11608367842439637</v>
      </c>
      <c r="F6" s="147">
        <f>D6-B6</f>
        <v>31144.554419195</v>
      </c>
      <c r="G6" s="149">
        <f>F6/D8</f>
        <v>0.11608367842439637</v>
      </c>
      <c r="H6" s="2" t="s">
        <v>128</v>
      </c>
      <c r="I6" s="170" t="s">
        <v>89</v>
      </c>
      <c r="J6" s="140" t="s">
        <v>33</v>
      </c>
    </row>
    <row r="7" spans="1:10" ht="15">
      <c r="A7" s="164"/>
      <c r="B7" s="146"/>
      <c r="C7" s="149"/>
      <c r="D7" s="149"/>
      <c r="E7" s="149"/>
      <c r="F7" s="147"/>
      <c r="G7" s="149"/>
      <c r="I7" s="170"/>
      <c r="J7" s="140"/>
    </row>
    <row r="8" spans="1:10" ht="15">
      <c r="A8" s="164" t="s">
        <v>65</v>
      </c>
      <c r="B8" s="144">
        <f>250000</f>
        <v>250000</v>
      </c>
      <c r="C8" s="150"/>
      <c r="D8" s="145">
        <f>'GiveWell calculations'!B5</f>
        <v>268294</v>
      </c>
      <c r="E8" s="149"/>
      <c r="F8" s="143"/>
      <c r="G8" s="149"/>
      <c r="I8" s="170" t="s">
        <v>116</v>
      </c>
      <c r="J8" s="140" t="s">
        <v>33</v>
      </c>
    </row>
    <row r="9" spans="1:10" ht="15">
      <c r="A9" s="139" t="s">
        <v>104</v>
      </c>
      <c r="B9" s="148">
        <f>170000</f>
        <v>170000</v>
      </c>
      <c r="C9" s="151">
        <f>SUM(C3:C5)</f>
        <v>0.6799999999999999</v>
      </c>
      <c r="D9" s="148">
        <f>SUM(D3:D5)</f>
        <v>215044.24112437593</v>
      </c>
      <c r="E9" s="151">
        <f>SUM(E3:E6)</f>
        <v>0.917608278767214</v>
      </c>
      <c r="F9" s="148">
        <f>SUM(F3:F6)</f>
        <v>76188.79554357092</v>
      </c>
      <c r="G9" s="151">
        <f>SUM(G3:G6)</f>
        <v>0.23760827876721402</v>
      </c>
      <c r="J9" s="140" t="s">
        <v>33</v>
      </c>
    </row>
    <row r="10" spans="2:10" ht="15">
      <c r="B10" s="104"/>
      <c r="C10" s="104"/>
      <c r="D10" s="104"/>
      <c r="E10" s="104"/>
      <c r="F10" s="104"/>
      <c r="G10" s="104"/>
      <c r="J10" s="140" t="s">
        <v>33</v>
      </c>
    </row>
    <row r="11" spans="2:10" ht="15">
      <c r="B11" s="104"/>
      <c r="C11" s="104"/>
      <c r="D11" s="104"/>
      <c r="E11" s="104"/>
      <c r="F11" s="104"/>
      <c r="G11" s="104"/>
      <c r="J11" s="140" t="s">
        <v>33</v>
      </c>
    </row>
    <row r="12" spans="2:10" ht="15">
      <c r="B12" s="104"/>
      <c r="C12" s="104"/>
      <c r="D12" s="104"/>
      <c r="E12" s="104"/>
      <c r="F12" s="104"/>
      <c r="G12" s="104"/>
      <c r="J12" s="140" t="s">
        <v>33</v>
      </c>
    </row>
    <row r="13" ht="15">
      <c r="J13" s="140" t="s">
        <v>33</v>
      </c>
    </row>
    <row r="14" ht="15">
      <c r="J14" s="140" t="s">
        <v>33</v>
      </c>
    </row>
    <row r="15" ht="15">
      <c r="J15" s="140" t="s">
        <v>33</v>
      </c>
    </row>
    <row r="16" ht="15">
      <c r="J16" s="140" t="s">
        <v>33</v>
      </c>
    </row>
  </sheetData>
  <sheetProtection/>
  <mergeCells count="3">
    <mergeCell ref="B1:C1"/>
    <mergeCell ref="D1:E1"/>
    <mergeCell ref="F1:G1"/>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C13"/>
  <sheetViews>
    <sheetView zoomScalePageLayoutView="0" workbookViewId="0" topLeftCell="A1">
      <selection activeCell="D12" sqref="D12"/>
    </sheetView>
  </sheetViews>
  <sheetFormatPr defaultColWidth="11.421875" defaultRowHeight="15"/>
  <cols>
    <col min="1" max="1" width="13.00390625" style="0" customWidth="1"/>
  </cols>
  <sheetData>
    <row r="1" ht="15">
      <c r="A1" s="164" t="s">
        <v>131</v>
      </c>
    </row>
    <row r="3" spans="2:3" ht="15">
      <c r="B3" t="s">
        <v>117</v>
      </c>
      <c r="C3" t="s">
        <v>118</v>
      </c>
    </row>
    <row r="5" spans="1:3" ht="15">
      <c r="A5" t="s">
        <v>52</v>
      </c>
      <c r="B5">
        <v>0.7612</v>
      </c>
      <c r="C5">
        <v>163.876</v>
      </c>
    </row>
    <row r="6" spans="1:3" ht="15">
      <c r="A6" t="s">
        <v>53</v>
      </c>
      <c r="B6">
        <v>0.7755</v>
      </c>
      <c r="C6">
        <v>165.275</v>
      </c>
    </row>
    <row r="7" spans="1:3" ht="15">
      <c r="A7" t="s">
        <v>54</v>
      </c>
      <c r="B7">
        <v>0.7563</v>
      </c>
      <c r="C7">
        <v>162.499</v>
      </c>
    </row>
    <row r="9" spans="1:3" ht="15">
      <c r="A9" s="169">
        <v>41000</v>
      </c>
      <c r="B9">
        <v>0.7592</v>
      </c>
      <c r="C9">
        <v>165.144</v>
      </c>
    </row>
    <row r="10" spans="1:3" ht="15">
      <c r="A10" s="169">
        <v>40969</v>
      </c>
      <c r="B10">
        <v>0.7567</v>
      </c>
      <c r="C10">
        <v>165.275</v>
      </c>
    </row>
    <row r="11" spans="1:3" ht="15">
      <c r="A11" s="169">
        <v>40940</v>
      </c>
      <c r="B11">
        <v>0.7563</v>
      </c>
      <c r="C11">
        <v>163.888</v>
      </c>
    </row>
    <row r="12" spans="1:3" ht="15">
      <c r="A12" s="169">
        <v>40909</v>
      </c>
      <c r="B12">
        <v>0.7755</v>
      </c>
      <c r="C12">
        <v>162.499</v>
      </c>
    </row>
    <row r="13" spans="1:3" ht="15">
      <c r="A13" s="169">
        <v>40878</v>
      </c>
      <c r="B13">
        <v>0.7584</v>
      </c>
      <c r="C13">
        <v>162.572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Senard Mwale</dc:creator>
  <cp:keywords/>
  <dc:description/>
  <cp:lastModifiedBy>Stephanie</cp:lastModifiedBy>
  <cp:lastPrinted>2011-10-24T12:22:39Z</cp:lastPrinted>
  <dcterms:created xsi:type="dcterms:W3CDTF">2011-06-23T17:43:14Z</dcterms:created>
  <dcterms:modified xsi:type="dcterms:W3CDTF">2012-05-23T15:56:55Z</dcterms:modified>
  <cp:category/>
  <cp:version/>
  <cp:contentType/>
  <cp:contentStatus/>
</cp:coreProperties>
</file>